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codeName="ThisWorkbook"/>
  <bookViews>
    <workbookView windowWidth="28800" windowHeight="12375"/>
  </bookViews>
  <sheets>
    <sheet name="采购清单" sheetId="3" r:id="rId1"/>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303" name="ID_E697383C3CAA445A85BB344B131894E6"/>
        <xdr:cNvPicPr>
          <a:picLocks noChangeAspect="1"/>
        </xdr:cNvPicPr>
      </xdr:nvPicPr>
      <xdr:blipFill>
        <a:blip r:embed="rId1"/>
        <a:stretch>
          <a:fillRect/>
        </a:stretch>
      </xdr:blipFill>
      <xdr:spPr>
        <a:xfrm>
          <a:off x="20302855" y="1953895"/>
          <a:ext cx="998855" cy="991235"/>
        </a:xfrm>
        <a:prstGeom prst="rect">
          <a:avLst/>
        </a:prstGeom>
        <a:noFill/>
        <a:ln w="9525">
          <a:noFill/>
        </a:ln>
      </xdr:spPr>
    </xdr:pic>
  </etc:cellImage>
  <etc:cellImage>
    <xdr:pic>
      <xdr:nvPicPr>
        <xdr:cNvPr id="304" name="ID_F04A9D3F4BE74DD49C511475873CC24A"/>
        <xdr:cNvPicPr>
          <a:picLocks noChangeAspect="1"/>
        </xdr:cNvPicPr>
      </xdr:nvPicPr>
      <xdr:blipFill>
        <a:blip r:embed="rId2"/>
        <a:stretch>
          <a:fillRect/>
        </a:stretch>
      </xdr:blipFill>
      <xdr:spPr>
        <a:xfrm>
          <a:off x="19686270" y="4379595"/>
          <a:ext cx="3375025" cy="3307080"/>
        </a:xfrm>
        <a:prstGeom prst="rect">
          <a:avLst/>
        </a:prstGeom>
        <a:noFill/>
        <a:ln w="9525">
          <a:noFill/>
        </a:ln>
      </xdr:spPr>
    </xdr:pic>
  </etc:cellImage>
  <etc:cellImage>
    <xdr:pic>
      <xdr:nvPicPr>
        <xdr:cNvPr id="315" name="ID_C0E147967DB04ED88BB355A3FE894730"/>
        <xdr:cNvPicPr>
          <a:picLocks noChangeAspect="1"/>
        </xdr:cNvPicPr>
      </xdr:nvPicPr>
      <xdr:blipFill>
        <a:blip r:embed="rId3"/>
        <a:stretch>
          <a:fillRect/>
        </a:stretch>
      </xdr:blipFill>
      <xdr:spPr>
        <a:xfrm>
          <a:off x="19890740" y="38015545"/>
          <a:ext cx="974090" cy="854075"/>
        </a:xfrm>
        <a:prstGeom prst="rect">
          <a:avLst/>
        </a:prstGeom>
        <a:noFill/>
        <a:ln w="9525">
          <a:noFill/>
        </a:ln>
      </xdr:spPr>
    </xdr:pic>
  </etc:cellImage>
  <etc:cellImage>
    <xdr:pic>
      <xdr:nvPicPr>
        <xdr:cNvPr id="3" name="ID_F7BB57A527DF4294BCF24E606B8B56EB"/>
        <xdr:cNvPicPr>
          <a:picLocks noChangeAspect="1"/>
        </xdr:cNvPicPr>
      </xdr:nvPicPr>
      <xdr:blipFill>
        <a:blip r:embed="rId4"/>
        <a:srcRect l="996" t="21035" r="-996" b="14107"/>
        <a:stretch>
          <a:fillRect/>
        </a:stretch>
      </xdr:blipFill>
      <xdr:spPr>
        <a:xfrm>
          <a:off x="3131185" y="6363335"/>
          <a:ext cx="507365" cy="724535"/>
        </a:xfrm>
        <a:prstGeom prst="rect">
          <a:avLst/>
        </a:prstGeom>
        <a:noFill/>
        <a:ln w="9525">
          <a:noFill/>
        </a:ln>
      </xdr:spPr>
    </xdr:pic>
  </etc:cellImage>
  <etc:cellImage>
    <xdr:pic>
      <xdr:nvPicPr>
        <xdr:cNvPr id="310" name="ID_3899D64E14BB4FD3BA2062A148629A4E"/>
        <xdr:cNvPicPr>
          <a:picLocks noChangeAspect="1"/>
        </xdr:cNvPicPr>
      </xdr:nvPicPr>
      <xdr:blipFill>
        <a:blip r:embed="rId5"/>
        <a:stretch>
          <a:fillRect/>
        </a:stretch>
      </xdr:blipFill>
      <xdr:spPr>
        <a:xfrm>
          <a:off x="19897090" y="15802610"/>
          <a:ext cx="1031240" cy="1022985"/>
        </a:xfrm>
        <a:prstGeom prst="rect">
          <a:avLst/>
        </a:prstGeom>
        <a:noFill/>
        <a:ln w="9525">
          <a:noFill/>
        </a:ln>
      </xdr:spPr>
    </xdr:pic>
  </etc:cellImage>
  <etc:cellImage>
    <xdr:pic>
      <xdr:nvPicPr>
        <xdr:cNvPr id="308" name="ID_F602A1F0E27143DB9419C6ADB5DA1222"/>
        <xdr:cNvPicPr>
          <a:picLocks noChangeAspect="1"/>
        </xdr:cNvPicPr>
      </xdr:nvPicPr>
      <xdr:blipFill>
        <a:blip r:embed="rId6"/>
        <a:stretch>
          <a:fillRect/>
        </a:stretch>
      </xdr:blipFill>
      <xdr:spPr>
        <a:xfrm>
          <a:off x="19821525" y="14394180"/>
          <a:ext cx="1037590" cy="1047115"/>
        </a:xfrm>
        <a:prstGeom prst="rect">
          <a:avLst/>
        </a:prstGeom>
        <a:noFill/>
        <a:ln w="9525">
          <a:noFill/>
        </a:ln>
      </xdr:spPr>
    </xdr:pic>
  </etc:cellImage>
  <etc:cellImage>
    <xdr:pic>
      <xdr:nvPicPr>
        <xdr:cNvPr id="311" name="ID_C6CF5D7CD3664482B90AF718F3E727B2"/>
        <xdr:cNvPicPr>
          <a:picLocks noChangeAspect="1"/>
        </xdr:cNvPicPr>
      </xdr:nvPicPr>
      <xdr:blipFill>
        <a:blip r:embed="rId7"/>
        <a:stretch>
          <a:fillRect/>
        </a:stretch>
      </xdr:blipFill>
      <xdr:spPr>
        <a:xfrm>
          <a:off x="19752310" y="20497800"/>
          <a:ext cx="1590675" cy="895985"/>
        </a:xfrm>
        <a:prstGeom prst="rect">
          <a:avLst/>
        </a:prstGeom>
        <a:noFill/>
        <a:ln w="9525">
          <a:noFill/>
        </a:ln>
      </xdr:spPr>
    </xdr:pic>
  </etc:cellImage>
  <etc:cellImage>
    <xdr:pic>
      <xdr:nvPicPr>
        <xdr:cNvPr id="312" name="ID_FB8D07F9C85049429DEAB27E179B634B"/>
        <xdr:cNvPicPr>
          <a:picLocks noChangeAspect="1"/>
        </xdr:cNvPicPr>
      </xdr:nvPicPr>
      <xdr:blipFill>
        <a:blip r:embed="rId8"/>
        <a:stretch>
          <a:fillRect/>
        </a:stretch>
      </xdr:blipFill>
      <xdr:spPr>
        <a:xfrm>
          <a:off x="20552410" y="21610955"/>
          <a:ext cx="1007110" cy="1482090"/>
        </a:xfrm>
        <a:prstGeom prst="rect">
          <a:avLst/>
        </a:prstGeom>
        <a:noFill/>
        <a:ln w="9525">
          <a:noFill/>
        </a:ln>
      </xdr:spPr>
    </xdr:pic>
  </etc:cellImage>
  <etc:cellImage>
    <xdr:pic>
      <xdr:nvPicPr>
        <xdr:cNvPr id="4" name="ID_BD354F0C6345465EB8796D83B98637F0"/>
        <xdr:cNvPicPr>
          <a:picLocks noChangeAspect="1"/>
        </xdr:cNvPicPr>
      </xdr:nvPicPr>
      <xdr:blipFill>
        <a:blip r:embed="rId9"/>
        <a:stretch>
          <a:fillRect/>
        </a:stretch>
      </xdr:blipFill>
      <xdr:spPr>
        <a:xfrm rot="16200000">
          <a:off x="2959735" y="12082145"/>
          <a:ext cx="779145" cy="548640"/>
        </a:xfrm>
        <a:prstGeom prst="rect">
          <a:avLst/>
        </a:prstGeom>
        <a:noFill/>
        <a:ln w="9525">
          <a:noFill/>
        </a:ln>
      </xdr:spPr>
    </xdr:pic>
  </etc:cellImage>
  <etc:cellImage>
    <xdr:pic>
      <xdr:nvPicPr>
        <xdr:cNvPr id="313" name="ID_A3FA8821DE284B56B6260F20513F0059"/>
        <xdr:cNvPicPr>
          <a:picLocks noChangeAspect="1"/>
        </xdr:cNvPicPr>
      </xdr:nvPicPr>
      <xdr:blipFill>
        <a:blip r:embed="rId10"/>
        <a:stretch>
          <a:fillRect/>
        </a:stretch>
      </xdr:blipFill>
      <xdr:spPr>
        <a:xfrm>
          <a:off x="19728815" y="23148290"/>
          <a:ext cx="1661795" cy="810895"/>
        </a:xfrm>
        <a:prstGeom prst="rect">
          <a:avLst/>
        </a:prstGeom>
        <a:noFill/>
        <a:ln w="9525">
          <a:noFill/>
        </a:ln>
      </xdr:spPr>
    </xdr:pic>
  </etc:cellImage>
  <etc:cellImage>
    <xdr:pic>
      <xdr:nvPicPr>
        <xdr:cNvPr id="314" name="ID_2763733ACA2243BF8CAA21D80BC15AC0"/>
        <xdr:cNvPicPr>
          <a:picLocks noChangeAspect="1"/>
        </xdr:cNvPicPr>
      </xdr:nvPicPr>
      <xdr:blipFill>
        <a:blip r:embed="rId11"/>
        <a:stretch>
          <a:fillRect/>
        </a:stretch>
      </xdr:blipFill>
      <xdr:spPr>
        <a:xfrm>
          <a:off x="20007580" y="24234140"/>
          <a:ext cx="1667510" cy="935990"/>
        </a:xfrm>
        <a:prstGeom prst="rect">
          <a:avLst/>
        </a:prstGeom>
        <a:noFill/>
        <a:ln w="9525">
          <a:noFill/>
        </a:ln>
      </xdr:spPr>
    </xdr:pic>
  </etc:cellImage>
  <etc:cellImage>
    <xdr:pic>
      <xdr:nvPicPr>
        <xdr:cNvPr id="328" name="ID_7AFD5CA19E6048D1998024312CA70E58"/>
        <xdr:cNvPicPr>
          <a:picLocks noChangeAspect="1"/>
        </xdr:cNvPicPr>
      </xdr:nvPicPr>
      <xdr:blipFill>
        <a:blip r:embed="rId12"/>
        <a:stretch>
          <a:fillRect/>
        </a:stretch>
      </xdr:blipFill>
      <xdr:spPr>
        <a:xfrm>
          <a:off x="19482435" y="42237025"/>
          <a:ext cx="1219835" cy="1091565"/>
        </a:xfrm>
        <a:prstGeom prst="rect">
          <a:avLst/>
        </a:prstGeom>
        <a:noFill/>
        <a:ln w="9525">
          <a:noFill/>
        </a:ln>
      </xdr:spPr>
    </xdr:pic>
  </etc:cellImage>
  <etc:cellImage>
    <xdr:pic>
      <xdr:nvPicPr>
        <xdr:cNvPr id="319" name="ID_D48778A34330437892CED41C585F771D"/>
        <xdr:cNvPicPr>
          <a:picLocks noChangeAspect="1"/>
        </xdr:cNvPicPr>
      </xdr:nvPicPr>
      <xdr:blipFill>
        <a:blip r:embed="rId13"/>
        <a:stretch>
          <a:fillRect/>
        </a:stretch>
      </xdr:blipFill>
      <xdr:spPr>
        <a:xfrm>
          <a:off x="19902805" y="27049730"/>
          <a:ext cx="1235075" cy="981075"/>
        </a:xfrm>
        <a:prstGeom prst="rect">
          <a:avLst/>
        </a:prstGeom>
        <a:noFill/>
        <a:ln w="9525">
          <a:noFill/>
        </a:ln>
      </xdr:spPr>
    </xdr:pic>
  </etc:cellImage>
  <etc:cellImage>
    <xdr:pic>
      <xdr:nvPicPr>
        <xdr:cNvPr id="316" name="ID_9CE0A84A96DA4356B4B682D6F46E6D84"/>
        <xdr:cNvPicPr>
          <a:picLocks noChangeAspect="1"/>
        </xdr:cNvPicPr>
      </xdr:nvPicPr>
      <xdr:blipFill>
        <a:blip r:embed="rId14"/>
        <a:stretch>
          <a:fillRect/>
        </a:stretch>
      </xdr:blipFill>
      <xdr:spPr>
        <a:xfrm>
          <a:off x="19923125" y="28066365"/>
          <a:ext cx="1235710" cy="1021715"/>
        </a:xfrm>
        <a:prstGeom prst="rect">
          <a:avLst/>
        </a:prstGeom>
        <a:noFill/>
        <a:ln w="9525">
          <a:noFill/>
        </a:ln>
      </xdr:spPr>
    </xdr:pic>
  </etc:cellImage>
  <etc:cellImage>
    <xdr:pic>
      <xdr:nvPicPr>
        <xdr:cNvPr id="322" name="ID_86D35107575F448DBF4DAD8B8930011F"/>
        <xdr:cNvPicPr>
          <a:picLocks noChangeAspect="1"/>
        </xdr:cNvPicPr>
      </xdr:nvPicPr>
      <xdr:blipFill>
        <a:blip r:embed="rId15"/>
        <a:stretch>
          <a:fillRect/>
        </a:stretch>
      </xdr:blipFill>
      <xdr:spPr>
        <a:xfrm>
          <a:off x="19952970" y="30753050"/>
          <a:ext cx="1207770" cy="1069975"/>
        </a:xfrm>
        <a:prstGeom prst="rect">
          <a:avLst/>
        </a:prstGeom>
        <a:noFill/>
        <a:ln w="9525">
          <a:noFill/>
        </a:ln>
      </xdr:spPr>
    </xdr:pic>
  </etc:cellImage>
  <etc:cellImage>
    <xdr:pic>
      <xdr:nvPicPr>
        <xdr:cNvPr id="323" name="ID_D5D33CD3A6DB4E0BBA493DB40E8B8237"/>
        <xdr:cNvPicPr>
          <a:picLocks noChangeAspect="1"/>
        </xdr:cNvPicPr>
      </xdr:nvPicPr>
      <xdr:blipFill>
        <a:blip r:embed="rId16"/>
        <a:stretch>
          <a:fillRect/>
        </a:stretch>
      </xdr:blipFill>
      <xdr:spPr>
        <a:xfrm>
          <a:off x="19763105" y="32012255"/>
          <a:ext cx="1174115" cy="942340"/>
        </a:xfrm>
        <a:prstGeom prst="rect">
          <a:avLst/>
        </a:prstGeom>
        <a:noFill/>
        <a:ln w="9525">
          <a:noFill/>
        </a:ln>
      </xdr:spPr>
    </xdr:pic>
  </etc:cellImage>
  <etc:cellImage>
    <xdr:pic>
      <xdr:nvPicPr>
        <xdr:cNvPr id="318" name="ID_52202D357A0442CD9BB87BBD6814D6A2"/>
        <xdr:cNvPicPr>
          <a:picLocks noChangeAspect="1"/>
        </xdr:cNvPicPr>
      </xdr:nvPicPr>
      <xdr:blipFill>
        <a:blip r:embed="rId17"/>
        <a:stretch>
          <a:fillRect/>
        </a:stretch>
      </xdr:blipFill>
      <xdr:spPr>
        <a:xfrm>
          <a:off x="19851370" y="33422590"/>
          <a:ext cx="1089660" cy="779145"/>
        </a:xfrm>
        <a:prstGeom prst="rect">
          <a:avLst/>
        </a:prstGeom>
        <a:noFill/>
        <a:ln w="9525">
          <a:noFill/>
        </a:ln>
      </xdr:spPr>
    </xdr:pic>
  </etc:cellImage>
  <etc:cellImage>
    <xdr:pic>
      <xdr:nvPicPr>
        <xdr:cNvPr id="324" name="ID_FEB4420F5D9642FABABD700C6A5134C0"/>
        <xdr:cNvPicPr>
          <a:picLocks noChangeAspect="1"/>
        </xdr:cNvPicPr>
      </xdr:nvPicPr>
      <xdr:blipFill>
        <a:blip r:embed="rId18"/>
        <a:stretch>
          <a:fillRect/>
        </a:stretch>
      </xdr:blipFill>
      <xdr:spPr>
        <a:xfrm>
          <a:off x="19721830" y="34684970"/>
          <a:ext cx="1089660" cy="1068070"/>
        </a:xfrm>
        <a:prstGeom prst="rect">
          <a:avLst/>
        </a:prstGeom>
        <a:noFill/>
        <a:ln w="9525">
          <a:noFill/>
        </a:ln>
      </xdr:spPr>
    </xdr:pic>
  </etc:cellImage>
  <etc:cellImage>
    <xdr:pic>
      <xdr:nvPicPr>
        <xdr:cNvPr id="325" name="ID_1499189ADFC741EC952A9BEF881D933C"/>
        <xdr:cNvPicPr>
          <a:picLocks noChangeAspect="1"/>
        </xdr:cNvPicPr>
      </xdr:nvPicPr>
      <xdr:blipFill>
        <a:blip r:embed="rId19"/>
        <a:stretch>
          <a:fillRect/>
        </a:stretch>
      </xdr:blipFill>
      <xdr:spPr>
        <a:xfrm>
          <a:off x="19747865" y="36029265"/>
          <a:ext cx="1089660" cy="966470"/>
        </a:xfrm>
        <a:prstGeom prst="rect">
          <a:avLst/>
        </a:prstGeom>
        <a:noFill/>
        <a:ln w="9525">
          <a:noFill/>
        </a:ln>
      </xdr:spPr>
    </xdr:pic>
  </etc:cellImage>
  <etc:cellImage>
    <xdr:pic>
      <xdr:nvPicPr>
        <xdr:cNvPr id="6" name="ID_63AFE9FFC89E46618A03473D0A849325"/>
        <xdr:cNvPicPr>
          <a:picLocks noChangeAspect="1"/>
        </xdr:cNvPicPr>
      </xdr:nvPicPr>
      <xdr:blipFill>
        <a:blip r:embed="rId20"/>
        <a:stretch>
          <a:fillRect/>
        </a:stretch>
      </xdr:blipFill>
      <xdr:spPr>
        <a:xfrm rot="16200000">
          <a:off x="3339465" y="22078315"/>
          <a:ext cx="562610" cy="1006475"/>
        </a:xfrm>
        <a:prstGeom prst="rect">
          <a:avLst/>
        </a:prstGeom>
        <a:noFill/>
        <a:ln w="9525">
          <a:noFill/>
        </a:ln>
      </xdr:spPr>
    </xdr:pic>
  </etc:cellImage>
  <etc:cellImage>
    <xdr:pic>
      <xdr:nvPicPr>
        <xdr:cNvPr id="326" name="ID_D4AD0B8195C44BA681B06CF70F3EC1D8"/>
        <xdr:cNvPicPr>
          <a:picLocks noChangeAspect="1"/>
        </xdr:cNvPicPr>
      </xdr:nvPicPr>
      <xdr:blipFill>
        <a:blip r:embed="rId21"/>
        <a:stretch>
          <a:fillRect/>
        </a:stretch>
      </xdr:blipFill>
      <xdr:spPr>
        <a:xfrm>
          <a:off x="19844385" y="39016940"/>
          <a:ext cx="1036320" cy="854075"/>
        </a:xfrm>
        <a:prstGeom prst="rect">
          <a:avLst/>
        </a:prstGeom>
        <a:noFill/>
        <a:ln w="9525">
          <a:noFill/>
        </a:ln>
      </xdr:spPr>
    </xdr:pic>
  </etc:cellImage>
  <etc:cellImage>
    <xdr:pic>
      <xdr:nvPicPr>
        <xdr:cNvPr id="320" name="ID_B226112E217540E1B619C749DF4D96F3"/>
        <xdr:cNvPicPr>
          <a:picLocks noChangeAspect="1"/>
        </xdr:cNvPicPr>
      </xdr:nvPicPr>
      <xdr:blipFill>
        <a:blip r:embed="rId22"/>
        <a:stretch>
          <a:fillRect/>
        </a:stretch>
      </xdr:blipFill>
      <xdr:spPr>
        <a:xfrm>
          <a:off x="19746595" y="41181020"/>
          <a:ext cx="1142365" cy="822960"/>
        </a:xfrm>
        <a:prstGeom prst="rect">
          <a:avLst/>
        </a:prstGeom>
        <a:noFill/>
        <a:ln w="9525">
          <a:noFill/>
        </a:ln>
      </xdr:spPr>
    </xdr:pic>
  </etc:cellImage>
  <etc:cellImage>
    <xdr:pic>
      <xdr:nvPicPr>
        <xdr:cNvPr id="329" name="ID_D8FA0A178A7242E5A815E82044969D86"/>
        <xdr:cNvPicPr>
          <a:picLocks noChangeAspect="1"/>
        </xdr:cNvPicPr>
      </xdr:nvPicPr>
      <xdr:blipFill>
        <a:blip r:embed="rId23"/>
        <a:stretch>
          <a:fillRect/>
        </a:stretch>
      </xdr:blipFill>
      <xdr:spPr>
        <a:xfrm>
          <a:off x="19484975" y="43564175"/>
          <a:ext cx="1135380" cy="942340"/>
        </a:xfrm>
        <a:prstGeom prst="rect">
          <a:avLst/>
        </a:prstGeom>
        <a:noFill/>
        <a:ln w="9525">
          <a:noFill/>
        </a:ln>
      </xdr:spPr>
    </xdr:pic>
  </etc:cellImage>
  <etc:cellImage>
    <xdr:pic>
      <xdr:nvPicPr>
        <xdr:cNvPr id="14" name="ID_7CFB193D5DF644E994F8749918D55444"/>
        <xdr:cNvPicPr>
          <a:picLocks noChangeAspect="1"/>
        </xdr:cNvPicPr>
      </xdr:nvPicPr>
      <xdr:blipFill>
        <a:blip r:embed="rId24"/>
        <a:stretch>
          <a:fillRect/>
        </a:stretch>
      </xdr:blipFill>
      <xdr:spPr>
        <a:xfrm>
          <a:off x="4605655" y="22509480"/>
          <a:ext cx="1837055" cy="1855470"/>
        </a:xfrm>
        <a:prstGeom prst="rect">
          <a:avLst/>
        </a:prstGeom>
        <a:noFill/>
        <a:ln w="9525">
          <a:noFill/>
        </a:ln>
      </xdr:spPr>
    </xdr:pic>
  </etc:cellImage>
  <etc:cellImage>
    <xdr:pic>
      <xdr:nvPicPr>
        <xdr:cNvPr id="15" name="ID_0E198AB449AA4371A7D85AD80418CC4C"/>
        <xdr:cNvPicPr>
          <a:picLocks noChangeAspect="1"/>
        </xdr:cNvPicPr>
      </xdr:nvPicPr>
      <xdr:blipFill>
        <a:blip r:embed="rId25"/>
        <a:srcRect l="9085" t="14029" r="9101" b="37939"/>
        <a:stretch>
          <a:fillRect/>
        </a:stretch>
      </xdr:blipFill>
      <xdr:spPr>
        <a:xfrm>
          <a:off x="3047365" y="901065"/>
          <a:ext cx="492760" cy="485775"/>
        </a:xfrm>
        <a:prstGeom prst="rect">
          <a:avLst/>
        </a:prstGeom>
        <a:noFill/>
        <a:ln w="9525">
          <a:noFill/>
        </a:ln>
      </xdr:spPr>
    </xdr:pic>
  </etc:cellImage>
  <etc:cellImage>
    <xdr:pic>
      <xdr:nvPicPr>
        <xdr:cNvPr id="16" name="ID_1F175E0A77134A459920F653C3B8382F" descr="微信图片_20250401112224"/>
        <xdr:cNvPicPr>
          <a:picLocks noChangeAspect="1"/>
        </xdr:cNvPicPr>
      </xdr:nvPicPr>
      <xdr:blipFill>
        <a:blip r:embed="rId26"/>
        <a:stretch>
          <a:fillRect/>
        </a:stretch>
      </xdr:blipFill>
      <xdr:spPr>
        <a:xfrm>
          <a:off x="3894455" y="4122420"/>
          <a:ext cx="7610475" cy="7620000"/>
        </a:xfrm>
        <a:prstGeom prst="rect">
          <a:avLst/>
        </a:prstGeom>
      </xdr:spPr>
    </xdr:pic>
  </etc:cellImage>
  <etc:cellImage>
    <xdr:pic>
      <xdr:nvPicPr>
        <xdr:cNvPr id="17" name="ID_DC7ECEC0610646B598ED886517904B6E" descr="微信图片_20250401113359"/>
        <xdr:cNvPicPr>
          <a:picLocks noChangeAspect="1"/>
        </xdr:cNvPicPr>
      </xdr:nvPicPr>
      <xdr:blipFill>
        <a:blip r:embed="rId27"/>
        <a:stretch>
          <a:fillRect/>
        </a:stretch>
      </xdr:blipFill>
      <xdr:spPr>
        <a:xfrm>
          <a:off x="3894455" y="6408420"/>
          <a:ext cx="7530465" cy="10058400"/>
        </a:xfrm>
        <a:prstGeom prst="rect">
          <a:avLst/>
        </a:prstGeom>
      </xdr:spPr>
    </xdr:pic>
  </etc:cellImage>
  <etc:cellImage>
    <xdr:pic>
      <xdr:nvPicPr>
        <xdr:cNvPr id="18" name="ID_B5A33F453CFD4093B8FC619DDFC623FA"/>
        <xdr:cNvPicPr>
          <a:picLocks noChangeAspect="1"/>
        </xdr:cNvPicPr>
      </xdr:nvPicPr>
      <xdr:blipFill>
        <a:blip r:embed="rId28"/>
        <a:srcRect l="9417" t="14081" r="9434" b="37174"/>
        <a:stretch>
          <a:fillRect/>
        </a:stretch>
      </xdr:blipFill>
      <xdr:spPr>
        <a:xfrm>
          <a:off x="3103880" y="49428400"/>
          <a:ext cx="599440" cy="604520"/>
        </a:xfrm>
        <a:prstGeom prst="rect">
          <a:avLst/>
        </a:prstGeom>
        <a:noFill/>
        <a:ln w="9525">
          <a:noFill/>
        </a:ln>
      </xdr:spPr>
    </xdr:pic>
  </etc:cellImage>
  <etc:cellImage>
    <xdr:pic>
      <xdr:nvPicPr>
        <xdr:cNvPr id="19" name="ID_7AF86CC5CD684324AA3AB93064BED290" descr="微信图片_20250401113001"/>
        <xdr:cNvPicPr>
          <a:picLocks noChangeAspect="1"/>
        </xdr:cNvPicPr>
      </xdr:nvPicPr>
      <xdr:blipFill>
        <a:blip r:embed="rId29"/>
        <a:srcRect l="13787" t="14924" r="25805" b="40833"/>
        <a:stretch>
          <a:fillRect/>
        </a:stretch>
      </xdr:blipFill>
      <xdr:spPr>
        <a:xfrm>
          <a:off x="3330575" y="6957060"/>
          <a:ext cx="4222115" cy="4450080"/>
        </a:xfrm>
        <a:prstGeom prst="round1Rect">
          <a:avLst/>
        </a:prstGeom>
      </xdr:spPr>
    </xdr:pic>
  </etc:cellImage>
  <etc:cellImage>
    <xdr:pic>
      <xdr:nvPicPr>
        <xdr:cNvPr id="20" name="ID_4C24FD6C7B974D3792F6AADEDECDBC3C" descr="微信图片_20250401114404"/>
        <xdr:cNvPicPr>
          <a:picLocks noChangeAspect="1"/>
        </xdr:cNvPicPr>
      </xdr:nvPicPr>
      <xdr:blipFill>
        <a:blip r:embed="rId30"/>
        <a:stretch>
          <a:fillRect/>
        </a:stretch>
      </xdr:blipFill>
      <xdr:spPr>
        <a:xfrm>
          <a:off x="1801495" y="21182965"/>
          <a:ext cx="7039610" cy="4794885"/>
        </a:xfrm>
        <a:prstGeom prst="rect">
          <a:avLst/>
        </a:prstGeom>
      </xdr:spPr>
    </xdr:pic>
  </etc:cellImage>
  <etc:cellImage>
    <xdr:pic>
      <xdr:nvPicPr>
        <xdr:cNvPr id="22" name="ID_A3460C7524D84C048D2FB165E55E8777" descr="微信图片_20250401112419"/>
        <xdr:cNvPicPr>
          <a:picLocks noChangeAspect="1"/>
        </xdr:cNvPicPr>
      </xdr:nvPicPr>
      <xdr:blipFill>
        <a:blip r:embed="rId31"/>
        <a:stretch>
          <a:fillRect/>
        </a:stretch>
      </xdr:blipFill>
      <xdr:spPr>
        <a:xfrm>
          <a:off x="3894455" y="4884420"/>
          <a:ext cx="7134225" cy="9525000"/>
        </a:xfrm>
        <a:prstGeom prst="rect">
          <a:avLst/>
        </a:prstGeom>
      </xdr:spPr>
    </xdr:pic>
  </etc:cellImage>
  <etc:cellImage>
    <xdr:pic>
      <xdr:nvPicPr>
        <xdr:cNvPr id="23" name="ID_D760FCBE958E4978A8E72EF77578B6E8" descr="微信图片_20250401115158"/>
        <xdr:cNvPicPr>
          <a:picLocks noChangeAspect="1"/>
        </xdr:cNvPicPr>
      </xdr:nvPicPr>
      <xdr:blipFill>
        <a:blip r:embed="rId32"/>
        <a:stretch>
          <a:fillRect/>
        </a:stretch>
      </xdr:blipFill>
      <xdr:spPr>
        <a:xfrm>
          <a:off x="3894455" y="20886420"/>
          <a:ext cx="7534275" cy="10058400"/>
        </a:xfrm>
        <a:prstGeom prst="rect">
          <a:avLst/>
        </a:prstGeom>
      </xdr:spPr>
    </xdr:pic>
  </etc:cellImage>
  <etc:cellImage>
    <xdr:pic>
      <xdr:nvPicPr>
        <xdr:cNvPr id="24" name="ID_CF05D54460984F42B19725F203E7A389"/>
        <xdr:cNvPicPr>
          <a:picLocks noChangeAspect="1"/>
        </xdr:cNvPicPr>
      </xdr:nvPicPr>
      <xdr:blipFill>
        <a:blip r:embed="rId33"/>
        <a:stretch>
          <a:fillRect/>
        </a:stretch>
      </xdr:blipFill>
      <xdr:spPr>
        <a:xfrm flipH="1">
          <a:off x="3047365" y="4365625"/>
          <a:ext cx="531495" cy="540385"/>
        </a:xfrm>
        <a:prstGeom prst="rect">
          <a:avLst/>
        </a:prstGeom>
        <a:noFill/>
        <a:ln w="9525">
          <a:noFill/>
        </a:ln>
      </xdr:spPr>
    </xdr:pic>
  </etc:cellImage>
  <etc:cellImage>
    <xdr:pic>
      <xdr:nvPicPr>
        <xdr:cNvPr id="26" name="ID_C06205D39411410D80C57B4782E0BCE9" descr="333"/>
        <xdr:cNvPicPr>
          <a:picLocks noChangeAspect="1"/>
        </xdr:cNvPicPr>
      </xdr:nvPicPr>
      <xdr:blipFill>
        <a:blip r:embed="rId34"/>
        <a:stretch>
          <a:fillRect/>
        </a:stretch>
      </xdr:blipFill>
      <xdr:spPr>
        <a:xfrm>
          <a:off x="3894455" y="7932420"/>
          <a:ext cx="4467225" cy="5848350"/>
        </a:xfrm>
        <a:prstGeom prst="rect">
          <a:avLst/>
        </a:prstGeom>
      </xdr:spPr>
    </xdr:pic>
  </etc:cellImage>
  <etc:cellImage>
    <xdr:pic>
      <xdr:nvPicPr>
        <xdr:cNvPr id="27" name="ID_B67262CB9DD949509F41884A72D2B811" descr="微信图片_20250401113949"/>
        <xdr:cNvPicPr>
          <a:picLocks noChangeAspect="1"/>
        </xdr:cNvPicPr>
      </xdr:nvPicPr>
      <xdr:blipFill>
        <a:blip r:embed="rId35"/>
        <a:stretch>
          <a:fillRect/>
        </a:stretch>
      </xdr:blipFill>
      <xdr:spPr>
        <a:xfrm>
          <a:off x="3894455" y="8694420"/>
          <a:ext cx="7534275" cy="10058400"/>
        </a:xfrm>
        <a:prstGeom prst="rect">
          <a:avLst/>
        </a:prstGeom>
      </xdr:spPr>
    </xdr:pic>
  </etc:cellImage>
  <etc:cellImage>
    <xdr:pic>
      <xdr:nvPicPr>
        <xdr:cNvPr id="28" name="ID_2E415623B40147179E40334DE2E63E13"/>
        <xdr:cNvPicPr>
          <a:picLocks noChangeAspect="1"/>
        </xdr:cNvPicPr>
      </xdr:nvPicPr>
      <xdr:blipFill>
        <a:blip r:embed="rId36"/>
        <a:stretch>
          <a:fillRect/>
        </a:stretch>
      </xdr:blipFill>
      <xdr:spPr>
        <a:xfrm>
          <a:off x="3021330" y="11337925"/>
          <a:ext cx="525145" cy="528955"/>
        </a:xfrm>
        <a:prstGeom prst="rect">
          <a:avLst/>
        </a:prstGeom>
        <a:noFill/>
        <a:ln w="9525">
          <a:noFill/>
        </a:ln>
      </xdr:spPr>
    </xdr:pic>
  </etc:cellImage>
  <etc:cellImage>
    <xdr:pic>
      <xdr:nvPicPr>
        <xdr:cNvPr id="29" name="ID_9BE5A6EF49E846D48289A3BE37A7AA4B"/>
        <xdr:cNvPicPr>
          <a:picLocks noChangeAspect="1"/>
        </xdr:cNvPicPr>
      </xdr:nvPicPr>
      <xdr:blipFill>
        <a:blip r:embed="rId37"/>
        <a:stretch>
          <a:fillRect/>
        </a:stretch>
      </xdr:blipFill>
      <xdr:spPr>
        <a:xfrm>
          <a:off x="3006090" y="12630785"/>
          <a:ext cx="556260" cy="554355"/>
        </a:xfrm>
        <a:prstGeom prst="rect">
          <a:avLst/>
        </a:prstGeom>
        <a:noFill/>
        <a:ln w="9525">
          <a:noFill/>
        </a:ln>
      </xdr:spPr>
    </xdr:pic>
  </etc:cellImage>
  <etc:cellImage>
    <xdr:pic>
      <xdr:nvPicPr>
        <xdr:cNvPr id="31" name="ID_D274CA2E3EF94B9FBE32E810C7343404" descr="微信图片_20250401114337"/>
        <xdr:cNvPicPr>
          <a:picLocks noChangeAspect="1"/>
        </xdr:cNvPicPr>
      </xdr:nvPicPr>
      <xdr:blipFill>
        <a:blip r:embed="rId38"/>
        <a:stretch>
          <a:fillRect/>
        </a:stretch>
      </xdr:blipFill>
      <xdr:spPr>
        <a:xfrm>
          <a:off x="2698750" y="11475720"/>
          <a:ext cx="7389495" cy="5547360"/>
        </a:xfrm>
        <a:prstGeom prst="rect">
          <a:avLst/>
        </a:prstGeom>
      </xdr:spPr>
    </xdr:pic>
  </etc:cellImage>
  <etc:cellImage>
    <xdr:pic>
      <xdr:nvPicPr>
        <xdr:cNvPr id="33" name="ID_217E8B3C64614764A3EC7CA2B75BB8AA"/>
        <xdr:cNvPicPr>
          <a:picLocks noChangeAspect="1"/>
        </xdr:cNvPicPr>
      </xdr:nvPicPr>
      <xdr:blipFill>
        <a:blip r:embed="rId39"/>
        <a:srcRect t="24881" b="36777"/>
        <a:stretch>
          <a:fillRect/>
        </a:stretch>
      </xdr:blipFill>
      <xdr:spPr>
        <a:xfrm>
          <a:off x="4661535" y="41889680"/>
          <a:ext cx="1689100" cy="1087120"/>
        </a:xfrm>
        <a:prstGeom prst="rect">
          <a:avLst/>
        </a:prstGeom>
        <a:noFill/>
        <a:ln w="9525">
          <a:noFill/>
        </a:ln>
      </xdr:spPr>
    </xdr:pic>
  </etc:cellImage>
  <etc:cellImage>
    <xdr:pic>
      <xdr:nvPicPr>
        <xdr:cNvPr id="34" name="ID_D6A7D3E8A998499AA3ABD8FE995193DE"/>
        <xdr:cNvPicPr>
          <a:picLocks noChangeAspect="1"/>
        </xdr:cNvPicPr>
      </xdr:nvPicPr>
      <xdr:blipFill>
        <a:blip r:embed="rId40"/>
        <a:stretch>
          <a:fillRect/>
        </a:stretch>
      </xdr:blipFill>
      <xdr:spPr>
        <a:xfrm>
          <a:off x="4431665" y="40596185"/>
          <a:ext cx="1833245" cy="1799590"/>
        </a:xfrm>
        <a:prstGeom prst="rect">
          <a:avLst/>
        </a:prstGeom>
        <a:noFill/>
        <a:ln w="9525">
          <a:noFill/>
        </a:ln>
      </xdr:spPr>
    </xdr:pic>
  </etc:cellImage>
  <etc:cellImage>
    <xdr:pic>
      <xdr:nvPicPr>
        <xdr:cNvPr id="35" name="ID_8F2E8988AB2F41198F48EF6774EACDE5"/>
        <xdr:cNvPicPr>
          <a:picLocks noChangeAspect="1"/>
        </xdr:cNvPicPr>
      </xdr:nvPicPr>
      <xdr:blipFill>
        <a:blip r:embed="rId41"/>
        <a:srcRect l="9064" t="13807" r="8527" b="36923"/>
        <a:stretch>
          <a:fillRect/>
        </a:stretch>
      </xdr:blipFill>
      <xdr:spPr>
        <a:xfrm>
          <a:off x="3070225" y="15184755"/>
          <a:ext cx="466090" cy="466725"/>
        </a:xfrm>
        <a:prstGeom prst="rect">
          <a:avLst/>
        </a:prstGeom>
        <a:noFill/>
        <a:ln w="9525">
          <a:noFill/>
        </a:ln>
      </xdr:spPr>
    </xdr:pic>
  </etc:cellImage>
  <etc:cellImage>
    <xdr:pic>
      <xdr:nvPicPr>
        <xdr:cNvPr id="36" name="ID_0B4E95C8A6E244ECBB0BABD50030066B" descr="微信图片_20250401114355"/>
        <xdr:cNvPicPr>
          <a:picLocks noChangeAspect="1"/>
        </xdr:cNvPicPr>
      </xdr:nvPicPr>
      <xdr:blipFill>
        <a:blip r:embed="rId42"/>
        <a:stretch>
          <a:fillRect/>
        </a:stretch>
      </xdr:blipFill>
      <xdr:spPr>
        <a:xfrm>
          <a:off x="2921000" y="13104495"/>
          <a:ext cx="8182610" cy="6143625"/>
        </a:xfrm>
        <a:prstGeom prst="rect">
          <a:avLst/>
        </a:prstGeom>
      </xdr:spPr>
    </xdr:pic>
  </etc:cellImage>
  <etc:cellImage>
    <xdr:pic>
      <xdr:nvPicPr>
        <xdr:cNvPr id="37" name="ID_C0569FC8AF3A4F93934CEDF80019CF5D" descr="微信图片_20250401114419"/>
        <xdr:cNvPicPr>
          <a:picLocks noChangeAspect="1"/>
        </xdr:cNvPicPr>
      </xdr:nvPicPr>
      <xdr:blipFill>
        <a:blip r:embed="rId43"/>
        <a:stretch>
          <a:fillRect/>
        </a:stretch>
      </xdr:blipFill>
      <xdr:spPr>
        <a:xfrm>
          <a:off x="657860" y="13594080"/>
          <a:ext cx="8067675" cy="6057900"/>
        </a:xfrm>
        <a:prstGeom prst="rect">
          <a:avLst/>
        </a:prstGeom>
      </xdr:spPr>
    </xdr:pic>
  </etc:cellImage>
  <etc:cellImage>
    <xdr:pic>
      <xdr:nvPicPr>
        <xdr:cNvPr id="38" name="ID_CFB8F4D32C7B413EB49D0A1769DF7B7F" descr="微信图片_20250401114433"/>
        <xdr:cNvPicPr>
          <a:picLocks noChangeAspect="1"/>
        </xdr:cNvPicPr>
      </xdr:nvPicPr>
      <xdr:blipFill>
        <a:blip r:embed="rId44"/>
        <a:stretch>
          <a:fillRect/>
        </a:stretch>
      </xdr:blipFill>
      <xdr:spPr>
        <a:xfrm>
          <a:off x="3894455" y="14028420"/>
          <a:ext cx="7534275" cy="10058400"/>
        </a:xfrm>
        <a:prstGeom prst="rect">
          <a:avLst/>
        </a:prstGeom>
      </xdr:spPr>
    </xdr:pic>
  </etc:cellImage>
  <etc:cellImage>
    <xdr:pic>
      <xdr:nvPicPr>
        <xdr:cNvPr id="39" name="ID_5F93D7136B114D9D99D6A599DAA3F91C" descr="微信图片_20250401114426"/>
        <xdr:cNvPicPr>
          <a:picLocks noChangeAspect="1"/>
        </xdr:cNvPicPr>
      </xdr:nvPicPr>
      <xdr:blipFill>
        <a:blip r:embed="rId45"/>
        <a:stretch>
          <a:fillRect/>
        </a:stretch>
      </xdr:blipFill>
      <xdr:spPr>
        <a:xfrm>
          <a:off x="5496560" y="16007080"/>
          <a:ext cx="5799455" cy="4353560"/>
        </a:xfrm>
        <a:prstGeom prst="rect">
          <a:avLst/>
        </a:prstGeom>
      </xdr:spPr>
    </xdr:pic>
  </etc:cellImage>
  <etc:cellImage>
    <xdr:pic>
      <xdr:nvPicPr>
        <xdr:cNvPr id="40" name="ID_62410508753F4DFABA85B3290E7CAB97" descr="微信图片_20250401114447"/>
        <xdr:cNvPicPr>
          <a:picLocks noChangeAspect="1"/>
        </xdr:cNvPicPr>
      </xdr:nvPicPr>
      <xdr:blipFill>
        <a:blip r:embed="rId46"/>
        <a:stretch>
          <a:fillRect/>
        </a:stretch>
      </xdr:blipFill>
      <xdr:spPr>
        <a:xfrm>
          <a:off x="1705610" y="16672560"/>
          <a:ext cx="6922135" cy="5196840"/>
        </a:xfrm>
        <a:prstGeom prst="rect">
          <a:avLst/>
        </a:prstGeom>
      </xdr:spPr>
    </xdr:pic>
  </etc:cellImage>
  <etc:cellImage>
    <xdr:pic>
      <xdr:nvPicPr>
        <xdr:cNvPr id="41" name="ID_B475A0F34BA6417D9C4C7613AC74D2C0" descr="微信图片_20250401114455"/>
        <xdr:cNvPicPr>
          <a:picLocks noChangeAspect="1"/>
        </xdr:cNvPicPr>
      </xdr:nvPicPr>
      <xdr:blipFill>
        <a:blip r:embed="rId47"/>
        <a:stretch>
          <a:fillRect/>
        </a:stretch>
      </xdr:blipFill>
      <xdr:spPr>
        <a:xfrm>
          <a:off x="1027430" y="17480280"/>
          <a:ext cx="7056120" cy="5295900"/>
        </a:xfrm>
        <a:prstGeom prst="rect">
          <a:avLst/>
        </a:prstGeom>
      </xdr:spPr>
    </xdr:pic>
  </etc:cellImage>
  <etc:cellImage>
    <xdr:pic>
      <xdr:nvPicPr>
        <xdr:cNvPr id="42" name="ID_F9CC14D4BCD24A29B7A1D91E65D8965E" descr="微信图片_20250401115304"/>
        <xdr:cNvPicPr>
          <a:picLocks noChangeAspect="1"/>
        </xdr:cNvPicPr>
      </xdr:nvPicPr>
      <xdr:blipFill>
        <a:blip r:embed="rId48"/>
        <a:stretch>
          <a:fillRect/>
        </a:stretch>
      </xdr:blipFill>
      <xdr:spPr>
        <a:xfrm>
          <a:off x="2964815" y="18836640"/>
          <a:ext cx="7927340" cy="5951220"/>
        </a:xfrm>
        <a:prstGeom prst="rect">
          <a:avLst/>
        </a:prstGeom>
      </xdr:spPr>
    </xdr:pic>
  </etc:cellImage>
  <etc:cellImage>
    <xdr:pic>
      <xdr:nvPicPr>
        <xdr:cNvPr id="43" name="ID_BB8AE2420074404A993E9251DC3850B7" descr="微信图片_20250401115250"/>
        <xdr:cNvPicPr>
          <a:picLocks noChangeAspect="1"/>
        </xdr:cNvPicPr>
      </xdr:nvPicPr>
      <xdr:blipFill>
        <a:blip r:embed="rId49"/>
        <a:stretch>
          <a:fillRect/>
        </a:stretch>
      </xdr:blipFill>
      <xdr:spPr>
        <a:xfrm>
          <a:off x="3894455" y="18600420"/>
          <a:ext cx="7534275" cy="10058400"/>
        </a:xfrm>
        <a:prstGeom prst="rect">
          <a:avLst/>
        </a:prstGeom>
      </xdr:spPr>
    </xdr:pic>
  </etc:cellImage>
  <etc:cellImage>
    <xdr:pic>
      <xdr:nvPicPr>
        <xdr:cNvPr id="44" name="ID_B1EC9AE1681941F1BF8A9EFDA7592A96" descr="微信图片_20250401115215"/>
        <xdr:cNvPicPr>
          <a:picLocks noChangeAspect="1"/>
        </xdr:cNvPicPr>
      </xdr:nvPicPr>
      <xdr:blipFill>
        <a:blip r:embed="rId50"/>
        <a:stretch>
          <a:fillRect/>
        </a:stretch>
      </xdr:blipFill>
      <xdr:spPr>
        <a:xfrm>
          <a:off x="3894455" y="19362420"/>
          <a:ext cx="7534275" cy="10058400"/>
        </a:xfrm>
        <a:prstGeom prst="rect">
          <a:avLst/>
        </a:prstGeom>
      </xdr:spPr>
    </xdr:pic>
  </etc:cellImage>
  <etc:cellImage>
    <xdr:pic>
      <xdr:nvPicPr>
        <xdr:cNvPr id="45" name="ID_5192AC9CF5FB4708B034A0A2001EFBB9"/>
        <xdr:cNvPicPr>
          <a:picLocks noChangeAspect="1"/>
        </xdr:cNvPicPr>
      </xdr:nvPicPr>
      <xdr:blipFill>
        <a:blip r:embed="rId51"/>
        <a:srcRect t="12898" b="36013"/>
        <a:stretch>
          <a:fillRect/>
        </a:stretch>
      </xdr:blipFill>
      <xdr:spPr>
        <a:xfrm>
          <a:off x="4752975" y="45640625"/>
          <a:ext cx="1358900" cy="1165225"/>
        </a:xfrm>
        <a:prstGeom prst="rect">
          <a:avLst/>
        </a:prstGeom>
        <a:noFill/>
        <a:ln w="9525">
          <a:noFill/>
        </a:ln>
      </xdr:spPr>
    </xdr:pic>
  </etc:cellImage>
  <etc:cellImage>
    <xdr:pic>
      <xdr:nvPicPr>
        <xdr:cNvPr id="46" name="ID_362DE2345ECA447B815DCA88A51044D9" descr="微信图片_20250401115207"/>
        <xdr:cNvPicPr>
          <a:picLocks noChangeAspect="1"/>
        </xdr:cNvPicPr>
      </xdr:nvPicPr>
      <xdr:blipFill>
        <a:blip r:embed="rId52"/>
        <a:stretch>
          <a:fillRect/>
        </a:stretch>
      </xdr:blipFill>
      <xdr:spPr>
        <a:xfrm>
          <a:off x="3894455" y="20124420"/>
          <a:ext cx="7534275" cy="10058400"/>
        </a:xfrm>
        <a:prstGeom prst="rect">
          <a:avLst/>
        </a:prstGeom>
      </xdr:spPr>
    </xdr:pic>
  </etc:cellImage>
  <etc:cellImage>
    <xdr:pic>
      <xdr:nvPicPr>
        <xdr:cNvPr id="47" name="ID_AEC8CB9AC8494E28AE6E9F2B98FE70CE"/>
        <xdr:cNvPicPr>
          <a:picLocks noChangeAspect="1"/>
        </xdr:cNvPicPr>
      </xdr:nvPicPr>
      <xdr:blipFill>
        <a:blip r:embed="rId53"/>
        <a:srcRect b="35782"/>
        <a:stretch>
          <a:fillRect/>
        </a:stretch>
      </xdr:blipFill>
      <xdr:spPr>
        <a:xfrm>
          <a:off x="4607560" y="21047710"/>
          <a:ext cx="1725930" cy="1726565"/>
        </a:xfrm>
        <a:prstGeom prst="rect">
          <a:avLst/>
        </a:prstGeom>
        <a:noFill/>
        <a:ln w="9525">
          <a:noFill/>
        </a:ln>
      </xdr:spPr>
    </xdr:pic>
  </etc:cellImage>
  <etc:cellImage>
    <xdr:pic>
      <xdr:nvPicPr>
        <xdr:cNvPr id="48" name="ID_2722F4665E2848C2B6499AFA317414AA"/>
        <xdr:cNvPicPr>
          <a:picLocks noChangeAspect="1"/>
        </xdr:cNvPicPr>
      </xdr:nvPicPr>
      <xdr:blipFill>
        <a:blip r:embed="rId54"/>
        <a:srcRect l="76253"/>
        <a:stretch>
          <a:fillRect/>
        </a:stretch>
      </xdr:blipFill>
      <xdr:spPr>
        <a:xfrm>
          <a:off x="4573905" y="20278725"/>
          <a:ext cx="1681480" cy="1457325"/>
        </a:xfrm>
        <a:prstGeom prst="rect">
          <a:avLst/>
        </a:prstGeom>
        <a:noFill/>
        <a:ln w="9525">
          <a:noFill/>
        </a:ln>
      </xdr:spPr>
    </xdr:pic>
  </etc:cellImage>
  <etc:cellImage>
    <xdr:pic>
      <xdr:nvPicPr>
        <xdr:cNvPr id="49" name="ID_1E2BC8792B674B52A13964D1F123D201"/>
        <xdr:cNvPicPr>
          <a:picLocks noChangeAspect="1"/>
        </xdr:cNvPicPr>
      </xdr:nvPicPr>
      <xdr:blipFill>
        <a:blip r:embed="rId55"/>
        <a:stretch>
          <a:fillRect/>
        </a:stretch>
      </xdr:blipFill>
      <xdr:spPr>
        <a:xfrm>
          <a:off x="4449445" y="20259040"/>
          <a:ext cx="1991360" cy="2194560"/>
        </a:xfrm>
        <a:prstGeom prst="rect">
          <a:avLst/>
        </a:prstGeom>
        <a:noFill/>
        <a:ln w="9525">
          <a:noFill/>
        </a:ln>
      </xdr:spPr>
    </xdr:pic>
  </etc:cellImage>
  <etc:cellImage>
    <xdr:pic>
      <xdr:nvPicPr>
        <xdr:cNvPr id="50" name="ID_601392F28C294EFB8827F79579B98AC4"/>
        <xdr:cNvPicPr>
          <a:picLocks noChangeAspect="1"/>
        </xdr:cNvPicPr>
      </xdr:nvPicPr>
      <xdr:blipFill>
        <a:blip r:embed="rId56"/>
        <a:stretch>
          <a:fillRect/>
        </a:stretch>
      </xdr:blipFill>
      <xdr:spPr>
        <a:xfrm>
          <a:off x="4563110" y="21725890"/>
          <a:ext cx="1659890" cy="1381760"/>
        </a:xfrm>
        <a:prstGeom prst="rect">
          <a:avLst/>
        </a:prstGeom>
        <a:noFill/>
        <a:ln w="9525">
          <a:noFill/>
        </a:ln>
      </xdr:spPr>
    </xdr:pic>
  </etc:cellImage>
  <etc:cellImage>
    <xdr:pic>
      <xdr:nvPicPr>
        <xdr:cNvPr id="51" name="ID_7B6CBEB216944764A80EFAF56B0DB668"/>
        <xdr:cNvPicPr>
          <a:picLocks noChangeAspect="1"/>
        </xdr:cNvPicPr>
      </xdr:nvPicPr>
      <xdr:blipFill>
        <a:blip r:embed="rId57"/>
        <a:srcRect t="47056" b="25995"/>
        <a:stretch>
          <a:fillRect/>
        </a:stretch>
      </xdr:blipFill>
      <xdr:spPr>
        <a:xfrm>
          <a:off x="4441825" y="23297515"/>
          <a:ext cx="2082165" cy="1238885"/>
        </a:xfrm>
        <a:prstGeom prst="rect">
          <a:avLst/>
        </a:prstGeom>
        <a:noFill/>
        <a:ln w="9525">
          <a:noFill/>
        </a:ln>
      </xdr:spPr>
    </xdr:pic>
  </etc:cellImage>
  <etc:cellImage>
    <xdr:pic>
      <xdr:nvPicPr>
        <xdr:cNvPr id="52" name="ID_F56BABE932334F25957893B929552D98"/>
        <xdr:cNvPicPr>
          <a:picLocks noChangeAspect="1"/>
        </xdr:cNvPicPr>
      </xdr:nvPicPr>
      <xdr:blipFill>
        <a:blip r:embed="rId58"/>
        <a:stretch>
          <a:fillRect/>
        </a:stretch>
      </xdr:blipFill>
      <xdr:spPr>
        <a:xfrm>
          <a:off x="4744720" y="24077930"/>
          <a:ext cx="1546225" cy="1049020"/>
        </a:xfrm>
        <a:prstGeom prst="rect">
          <a:avLst/>
        </a:prstGeom>
        <a:noFill/>
        <a:ln w="9525">
          <a:noFill/>
        </a:ln>
      </xdr:spPr>
    </xdr:pic>
  </etc:cellImage>
  <etc:cellImage>
    <xdr:pic>
      <xdr:nvPicPr>
        <xdr:cNvPr id="53" name="ID_4E6BF37DE1AC4A198043391B95C59DE8"/>
        <xdr:cNvPicPr>
          <a:picLocks noChangeAspect="1"/>
        </xdr:cNvPicPr>
      </xdr:nvPicPr>
      <xdr:blipFill>
        <a:blip r:embed="rId59"/>
        <a:srcRect l="11368" t="28510" r="10070" b="39113"/>
        <a:stretch>
          <a:fillRect/>
        </a:stretch>
      </xdr:blipFill>
      <xdr:spPr>
        <a:xfrm>
          <a:off x="3054985" y="43164125"/>
          <a:ext cx="485775" cy="335915"/>
        </a:xfrm>
        <a:prstGeom prst="rect">
          <a:avLst/>
        </a:prstGeom>
        <a:noFill/>
        <a:ln w="9525">
          <a:noFill/>
        </a:ln>
      </xdr:spPr>
    </xdr:pic>
  </etc:cellImage>
  <etc:cellImage>
    <xdr:pic>
      <xdr:nvPicPr>
        <xdr:cNvPr id="54" name="ID_F97D3779795A43329E04132346977E6D"/>
        <xdr:cNvPicPr>
          <a:picLocks noChangeAspect="1"/>
        </xdr:cNvPicPr>
      </xdr:nvPicPr>
      <xdr:blipFill>
        <a:blip r:embed="rId60"/>
        <a:stretch>
          <a:fillRect/>
        </a:stretch>
      </xdr:blipFill>
      <xdr:spPr>
        <a:xfrm>
          <a:off x="4536440" y="44354750"/>
          <a:ext cx="1971675" cy="1685925"/>
        </a:xfrm>
        <a:prstGeom prst="rect">
          <a:avLst/>
        </a:prstGeom>
        <a:noFill/>
        <a:ln w="9525">
          <a:noFill/>
        </a:ln>
      </xdr:spPr>
    </xdr:pic>
  </etc:cellImage>
  <etc:cellImage>
    <xdr:pic>
      <xdr:nvPicPr>
        <xdr:cNvPr id="55" name="ID_ACB47583F1A74099A2BAA1935CC503C6"/>
        <xdr:cNvPicPr>
          <a:picLocks noChangeAspect="1"/>
        </xdr:cNvPicPr>
      </xdr:nvPicPr>
      <xdr:blipFill>
        <a:blip r:embed="rId61"/>
        <a:stretch>
          <a:fillRect/>
        </a:stretch>
      </xdr:blipFill>
      <xdr:spPr>
        <a:xfrm>
          <a:off x="4755515" y="47066200"/>
          <a:ext cx="1348105" cy="787400"/>
        </a:xfrm>
        <a:prstGeom prst="rect">
          <a:avLst/>
        </a:prstGeom>
        <a:noFill/>
        <a:ln w="9525">
          <a:noFill/>
        </a:ln>
      </xdr:spPr>
    </xdr:pic>
  </etc:cellImage>
  <etc:cellImage>
    <xdr:pic>
      <xdr:nvPicPr>
        <xdr:cNvPr id="56" name="ID_4A42D4CA275B421BBEE170BE2EB9BA13"/>
        <xdr:cNvPicPr>
          <a:picLocks noChangeAspect="1"/>
        </xdr:cNvPicPr>
      </xdr:nvPicPr>
      <xdr:blipFill>
        <a:blip r:embed="rId62"/>
        <a:srcRect l="9068" t="13947" r="9143" b="37156"/>
        <a:stretch>
          <a:fillRect/>
        </a:stretch>
      </xdr:blipFill>
      <xdr:spPr>
        <a:xfrm>
          <a:off x="3134360" y="48115220"/>
          <a:ext cx="645160" cy="642620"/>
        </a:xfrm>
        <a:prstGeom prst="rect">
          <a:avLst/>
        </a:prstGeom>
        <a:noFill/>
        <a:ln w="9525">
          <a:noFill/>
        </a:ln>
      </xdr:spPr>
    </xdr:pic>
  </etc:cellImage>
  <etc:cellImage>
    <xdr:pic>
      <xdr:nvPicPr>
        <xdr:cNvPr id="57" name="ID_037088ECE7AB4219ADD81B96153F9432"/>
        <xdr:cNvPicPr>
          <a:picLocks noChangeAspect="1"/>
        </xdr:cNvPicPr>
      </xdr:nvPicPr>
      <xdr:blipFill>
        <a:blip r:embed="rId63"/>
        <a:srcRect l="7014" t="13585" r="6681" b="35541"/>
        <a:stretch>
          <a:fillRect/>
        </a:stretch>
      </xdr:blipFill>
      <xdr:spPr>
        <a:xfrm>
          <a:off x="3021330" y="25618440"/>
          <a:ext cx="537845" cy="518160"/>
        </a:xfrm>
        <a:prstGeom prst="rect">
          <a:avLst/>
        </a:prstGeom>
        <a:noFill/>
        <a:ln w="9525">
          <a:noFill/>
        </a:ln>
      </xdr:spPr>
    </xdr:pic>
  </etc:cellImage>
  <etc:cellImage>
    <xdr:pic>
      <xdr:nvPicPr>
        <xdr:cNvPr id="109" name="ID_70106031E88D49D2A9B1698CA793B8FB"/>
        <xdr:cNvPicPr>
          <a:picLocks noChangeAspect="1"/>
        </xdr:cNvPicPr>
      </xdr:nvPicPr>
      <xdr:blipFill>
        <a:blip r:embed="rId64"/>
        <a:stretch>
          <a:fillRect/>
        </a:stretch>
      </xdr:blipFill>
      <xdr:spPr>
        <a:xfrm>
          <a:off x="7284720" y="11083925"/>
          <a:ext cx="1172845" cy="1148715"/>
        </a:xfrm>
        <a:prstGeom prst="rect">
          <a:avLst/>
        </a:prstGeom>
        <a:noFill/>
        <a:ln w="9525">
          <a:noFill/>
        </a:ln>
      </xdr:spPr>
    </xdr:pic>
  </etc:cellImage>
  <etc:cellImage>
    <xdr:pic>
      <xdr:nvPicPr>
        <xdr:cNvPr id="129" name="ID_14202007E27D4E07859BDFAF2A1B569D"/>
        <xdr:cNvPicPr/>
      </xdr:nvPicPr>
      <xdr:blipFill>
        <a:blip r:embed="rId65"/>
        <a:stretch>
          <a:fillRect/>
        </a:stretch>
      </xdr:blipFill>
      <xdr:spPr>
        <a:xfrm>
          <a:off x="7512050" y="22252940"/>
          <a:ext cx="847090" cy="685800"/>
        </a:xfrm>
        <a:prstGeom prst="rect">
          <a:avLst/>
        </a:prstGeom>
      </xdr:spPr>
    </xdr:pic>
  </etc:cellImage>
  <etc:cellImage>
    <xdr:pic>
      <xdr:nvPicPr>
        <xdr:cNvPr id="112" name="ID_16F5CAC1F9154FC3A9F0698C734EA31B"/>
        <xdr:cNvPicPr>
          <a:picLocks noChangeAspect="1"/>
        </xdr:cNvPicPr>
      </xdr:nvPicPr>
      <xdr:blipFill>
        <a:blip r:embed="rId66"/>
        <a:stretch>
          <a:fillRect/>
        </a:stretch>
      </xdr:blipFill>
      <xdr:spPr>
        <a:xfrm>
          <a:off x="7212330" y="8624570"/>
          <a:ext cx="1297305" cy="805815"/>
        </a:xfrm>
        <a:prstGeom prst="rect">
          <a:avLst/>
        </a:prstGeom>
        <a:noFill/>
        <a:ln w="9525">
          <a:noFill/>
        </a:ln>
      </xdr:spPr>
    </xdr:pic>
  </etc:cellImage>
  <etc:cellImage>
    <xdr:pic>
      <xdr:nvPicPr>
        <xdr:cNvPr id="111" name="ID_4CB53BA46660443F92A25DC600F5E3C2"/>
        <xdr:cNvPicPr>
          <a:picLocks noChangeAspect="1"/>
        </xdr:cNvPicPr>
      </xdr:nvPicPr>
      <xdr:blipFill>
        <a:blip r:embed="rId67"/>
        <a:stretch>
          <a:fillRect/>
        </a:stretch>
      </xdr:blipFill>
      <xdr:spPr>
        <a:xfrm>
          <a:off x="7148830" y="4504690"/>
          <a:ext cx="1085850" cy="1085850"/>
        </a:xfrm>
        <a:prstGeom prst="rect">
          <a:avLst/>
        </a:prstGeom>
        <a:noFill/>
        <a:ln w="9525">
          <a:noFill/>
        </a:ln>
      </xdr:spPr>
    </xdr:pic>
  </etc:cellImage>
  <etc:cellImage>
    <xdr:pic>
      <xdr:nvPicPr>
        <xdr:cNvPr id="117" name="ID_B3C8931BAF0545A3B0EC271D1382F886"/>
        <xdr:cNvPicPr>
          <a:picLocks noChangeAspect="1"/>
        </xdr:cNvPicPr>
      </xdr:nvPicPr>
      <xdr:blipFill>
        <a:blip r:embed="rId68"/>
        <a:stretch>
          <a:fillRect/>
        </a:stretch>
      </xdr:blipFill>
      <xdr:spPr>
        <a:xfrm>
          <a:off x="7557770" y="16880840"/>
          <a:ext cx="639445" cy="718185"/>
        </a:xfrm>
        <a:prstGeom prst="rect">
          <a:avLst/>
        </a:prstGeom>
        <a:noFill/>
        <a:ln w="9525">
          <a:noFill/>
        </a:ln>
      </xdr:spPr>
    </xdr:pic>
  </etc:cellImage>
  <etc:cellImage>
    <xdr:pic>
      <xdr:nvPicPr>
        <xdr:cNvPr id="114" name="ID_E19F598BF9E8419DA3C0F640C254F99C"/>
        <xdr:cNvPicPr>
          <a:picLocks noChangeAspect="1"/>
        </xdr:cNvPicPr>
      </xdr:nvPicPr>
      <xdr:blipFill>
        <a:blip r:embed="rId69"/>
        <a:stretch>
          <a:fillRect/>
        </a:stretch>
      </xdr:blipFill>
      <xdr:spPr>
        <a:xfrm>
          <a:off x="7352030" y="12354560"/>
          <a:ext cx="714375" cy="651510"/>
        </a:xfrm>
        <a:prstGeom prst="rect">
          <a:avLst/>
        </a:prstGeom>
        <a:noFill/>
        <a:ln w="9525">
          <a:noFill/>
        </a:ln>
      </xdr:spPr>
    </xdr:pic>
  </etc:cellImage>
  <etc:cellImage>
    <xdr:pic>
      <xdr:nvPicPr>
        <xdr:cNvPr id="131" name="ID_F1DC7E92938B42EAA1AE5F582B6EB338"/>
        <xdr:cNvPicPr/>
      </xdr:nvPicPr>
      <xdr:blipFill>
        <a:blip r:embed="rId70"/>
        <a:stretch>
          <a:fillRect/>
        </a:stretch>
      </xdr:blipFill>
      <xdr:spPr>
        <a:xfrm>
          <a:off x="7496175" y="22976840"/>
          <a:ext cx="791210" cy="727075"/>
        </a:xfrm>
        <a:prstGeom prst="rect">
          <a:avLst/>
        </a:prstGeom>
      </xdr:spPr>
    </xdr:pic>
  </etc:cellImage>
  <etc:cellImage>
    <xdr:pic>
      <xdr:nvPicPr>
        <xdr:cNvPr id="130" name="ID_AB1E0341329240CF8942C47071C94818"/>
        <xdr:cNvPicPr/>
      </xdr:nvPicPr>
      <xdr:blipFill>
        <a:blip r:embed="rId71"/>
        <a:stretch>
          <a:fillRect/>
        </a:stretch>
      </xdr:blipFill>
      <xdr:spPr>
        <a:xfrm>
          <a:off x="7483475" y="23784560"/>
          <a:ext cx="894715" cy="659130"/>
        </a:xfrm>
        <a:prstGeom prst="rect">
          <a:avLst/>
        </a:prstGeom>
      </xdr:spPr>
    </xdr:pic>
  </etc:cellImage>
  <etc:cellImage>
    <xdr:pic>
      <xdr:nvPicPr>
        <xdr:cNvPr id="132" name="ID_44FE979742CC4E4FAF8FB3F224957211"/>
        <xdr:cNvPicPr/>
      </xdr:nvPicPr>
      <xdr:blipFill>
        <a:blip r:embed="rId72"/>
        <a:stretch>
          <a:fillRect/>
        </a:stretch>
      </xdr:blipFill>
      <xdr:spPr>
        <a:xfrm>
          <a:off x="7574915" y="24568785"/>
          <a:ext cx="680720" cy="572135"/>
        </a:xfrm>
        <a:prstGeom prst="rect">
          <a:avLst/>
        </a:prstGeom>
      </xdr:spPr>
    </xdr:pic>
  </etc:cellImage>
  <etc:cellImage>
    <xdr:pic>
      <xdr:nvPicPr>
        <xdr:cNvPr id="800" name="ID_81105946AFDA4D9F944936588FFFECB9"/>
        <xdr:cNvPicPr>
          <a:picLocks noChangeAspect="1"/>
        </xdr:cNvPicPr>
      </xdr:nvPicPr>
      <xdr:blipFill>
        <a:blip r:embed="rId73"/>
        <a:stretch>
          <a:fillRect/>
        </a:stretch>
      </xdr:blipFill>
      <xdr:spPr>
        <a:xfrm>
          <a:off x="6410325" y="8861425"/>
          <a:ext cx="880110" cy="748030"/>
        </a:xfrm>
        <a:prstGeom prst="rect">
          <a:avLst/>
        </a:prstGeom>
        <a:noFill/>
        <a:ln w="9525">
          <a:noFill/>
        </a:ln>
      </xdr:spPr>
    </xdr:pic>
  </etc:cellImage>
  <etc:cellImage>
    <xdr:pic>
      <xdr:nvPicPr>
        <xdr:cNvPr id="866" name="ID_9D36CB9BB8524081ABD61C74574E3B35"/>
        <xdr:cNvPicPr>
          <a:picLocks noChangeAspect="1"/>
        </xdr:cNvPicPr>
      </xdr:nvPicPr>
      <xdr:blipFill>
        <a:blip r:embed="rId74"/>
        <a:stretch>
          <a:fillRect/>
        </a:stretch>
      </xdr:blipFill>
      <xdr:spPr>
        <a:xfrm flipH="1">
          <a:off x="6282055" y="1380490"/>
          <a:ext cx="1219835" cy="949960"/>
        </a:xfrm>
        <a:prstGeom prst="rect">
          <a:avLst/>
        </a:prstGeom>
        <a:noFill/>
        <a:ln w="9525">
          <a:noFill/>
        </a:ln>
      </xdr:spPr>
    </xdr:pic>
  </etc:cellImage>
  <etc:cellImage>
    <xdr:pic>
      <xdr:nvPicPr>
        <xdr:cNvPr id="842" name="ID_74B26421C0554236967E7B2490F7786F"/>
        <xdr:cNvPicPr>
          <a:picLocks noChangeAspect="1"/>
        </xdr:cNvPicPr>
      </xdr:nvPicPr>
      <xdr:blipFill>
        <a:blip r:embed="rId75"/>
        <a:stretch>
          <a:fillRect/>
        </a:stretch>
      </xdr:blipFill>
      <xdr:spPr>
        <a:xfrm rot="10800000" flipV="1">
          <a:off x="6296025" y="16931005"/>
          <a:ext cx="1120140" cy="969645"/>
        </a:xfrm>
        <a:prstGeom prst="rect">
          <a:avLst/>
        </a:prstGeom>
        <a:noFill/>
        <a:ln w="9525">
          <a:noFill/>
        </a:ln>
      </xdr:spPr>
    </xdr:pic>
  </etc:cellImage>
  <etc:cellImage>
    <xdr:pic>
      <xdr:nvPicPr>
        <xdr:cNvPr id="830" name="ID_B6069179DF704D8BA834BECE7E25F548"/>
        <xdr:cNvPicPr>
          <a:picLocks noChangeAspect="1"/>
        </xdr:cNvPicPr>
      </xdr:nvPicPr>
      <xdr:blipFill>
        <a:blip r:embed="rId76"/>
        <a:stretch>
          <a:fillRect/>
        </a:stretch>
      </xdr:blipFill>
      <xdr:spPr>
        <a:xfrm>
          <a:off x="6371590" y="9766300"/>
          <a:ext cx="1028700" cy="879475"/>
        </a:xfrm>
        <a:prstGeom prst="rect">
          <a:avLst/>
        </a:prstGeom>
        <a:noFill/>
        <a:ln w="9525">
          <a:noFill/>
        </a:ln>
      </xdr:spPr>
    </xdr:pic>
  </etc:cellImage>
  <etc:cellImage>
    <xdr:pic>
      <xdr:nvPicPr>
        <xdr:cNvPr id="881" name="ID_037EC63F202543D6B55A6A0186338D99"/>
        <xdr:cNvPicPr>
          <a:picLocks noChangeAspect="1"/>
        </xdr:cNvPicPr>
      </xdr:nvPicPr>
      <xdr:blipFill>
        <a:blip r:embed="rId77"/>
        <a:stretch>
          <a:fillRect/>
        </a:stretch>
      </xdr:blipFill>
      <xdr:spPr>
        <a:xfrm>
          <a:off x="6269355" y="3220720"/>
          <a:ext cx="975995" cy="864870"/>
        </a:xfrm>
        <a:prstGeom prst="rect">
          <a:avLst/>
        </a:prstGeom>
        <a:noFill/>
        <a:ln w="9525">
          <a:noFill/>
        </a:ln>
      </xdr:spPr>
    </xdr:pic>
  </etc:cellImage>
  <etc:cellImage>
    <xdr:pic>
      <xdr:nvPicPr>
        <xdr:cNvPr id="877" name="ID_DA61A79E9B22441E97AF54D2A0B4D44F"/>
        <xdr:cNvPicPr>
          <a:picLocks noChangeAspect="1"/>
        </xdr:cNvPicPr>
      </xdr:nvPicPr>
      <xdr:blipFill>
        <a:blip r:embed="rId78"/>
        <a:stretch>
          <a:fillRect/>
        </a:stretch>
      </xdr:blipFill>
      <xdr:spPr>
        <a:xfrm>
          <a:off x="6330315" y="3382010"/>
          <a:ext cx="1064260" cy="918210"/>
        </a:xfrm>
        <a:prstGeom prst="rect">
          <a:avLst/>
        </a:prstGeom>
        <a:noFill/>
        <a:ln w="9525">
          <a:noFill/>
        </a:ln>
      </xdr:spPr>
    </xdr:pic>
  </etc:cellImage>
  <etc:cellImage>
    <xdr:pic>
      <xdr:nvPicPr>
        <xdr:cNvPr id="2" name="ID_C47AEFB003BE4163BBFED24FF33F5E1D"/>
        <xdr:cNvPicPr>
          <a:picLocks noChangeAspect="1"/>
        </xdr:cNvPicPr>
      </xdr:nvPicPr>
      <xdr:blipFill>
        <a:blip r:embed="rId79"/>
        <a:stretch>
          <a:fillRect/>
        </a:stretch>
      </xdr:blipFill>
      <xdr:spPr>
        <a:xfrm>
          <a:off x="5356860" y="4432300"/>
          <a:ext cx="889000" cy="819150"/>
        </a:xfrm>
        <a:prstGeom prst="rect">
          <a:avLst/>
        </a:prstGeom>
        <a:noFill/>
        <a:ln w="9525">
          <a:noFill/>
        </a:ln>
      </xdr:spPr>
    </xdr:pic>
  </etc:cellImage>
  <etc:cellImage>
    <xdr:pic>
      <xdr:nvPicPr>
        <xdr:cNvPr id="5" name="ID_6995D657AA94487289D2C53D76519F89"/>
        <xdr:cNvPicPr>
          <a:picLocks noChangeAspect="1"/>
        </xdr:cNvPicPr>
      </xdr:nvPicPr>
      <xdr:blipFill>
        <a:blip r:embed="rId80"/>
        <a:stretch>
          <a:fillRect/>
        </a:stretch>
      </xdr:blipFill>
      <xdr:spPr>
        <a:xfrm>
          <a:off x="5409565" y="2222500"/>
          <a:ext cx="883920" cy="772160"/>
        </a:xfrm>
        <a:prstGeom prst="rect">
          <a:avLst/>
        </a:prstGeom>
        <a:noFill/>
        <a:ln w="9525">
          <a:noFill/>
        </a:ln>
      </xdr:spPr>
    </xdr:pic>
  </etc:cellImage>
  <etc:cellImage>
    <xdr:pic>
      <xdr:nvPicPr>
        <xdr:cNvPr id="7" name="ID_2893D92D709148F3B70C8F9CC47899AB" descr="图片1"/>
        <xdr:cNvPicPr/>
      </xdr:nvPicPr>
      <xdr:blipFill>
        <a:blip r:embed="rId81"/>
        <a:stretch>
          <a:fillRect/>
        </a:stretch>
      </xdr:blipFill>
      <xdr:spPr>
        <a:xfrm>
          <a:off x="0" y="0"/>
          <a:ext cx="4467225" cy="4591050"/>
        </a:xfrm>
        <a:prstGeom prst="rect">
          <a:avLst/>
        </a:prstGeom>
      </xdr:spPr>
    </xdr:pic>
  </etc:cellImage>
  <etc:cellImage>
    <xdr:pic>
      <xdr:nvPicPr>
        <xdr:cNvPr id="12" name="ID_A120DF0821E544F08666F77F4391F1FE"/>
        <xdr:cNvPicPr/>
      </xdr:nvPicPr>
      <xdr:blipFill>
        <a:blip r:embed="rId82"/>
        <a:stretch>
          <a:fillRect/>
        </a:stretch>
      </xdr:blipFill>
      <xdr:spPr>
        <a:xfrm>
          <a:off x="5420995" y="3307715"/>
          <a:ext cx="826135" cy="845185"/>
        </a:xfrm>
        <a:prstGeom prst="rect">
          <a:avLst/>
        </a:prstGeom>
      </xdr:spPr>
    </xdr:pic>
  </etc:cellImage>
  <etc:cellImage>
    <xdr:pic>
      <xdr:nvPicPr>
        <xdr:cNvPr id="8" name="ID_34F2654100B848BA892505D885B8DB0C" descr="围栏"/>
        <xdr:cNvPicPr/>
      </xdr:nvPicPr>
      <xdr:blipFill>
        <a:blip r:embed="rId83"/>
        <a:stretch>
          <a:fillRect/>
        </a:stretch>
      </xdr:blipFill>
      <xdr:spPr>
        <a:xfrm>
          <a:off x="0" y="0"/>
          <a:ext cx="4562475" cy="4486275"/>
        </a:xfrm>
        <a:prstGeom prst="rect">
          <a:avLst/>
        </a:prstGeom>
      </xdr:spPr>
    </xdr:pic>
  </etc:cellImage>
  <etc:cellImage>
    <xdr:pic>
      <xdr:nvPicPr>
        <xdr:cNvPr id="9" name="ID_8081E413A6E146498FFCB2D6618C1A2B" descr="球门"/>
        <xdr:cNvPicPr/>
      </xdr:nvPicPr>
      <xdr:blipFill>
        <a:blip r:embed="rId84"/>
        <a:stretch>
          <a:fillRect/>
        </a:stretch>
      </xdr:blipFill>
      <xdr:spPr>
        <a:xfrm>
          <a:off x="0" y="0"/>
          <a:ext cx="4657725" cy="4876800"/>
        </a:xfrm>
        <a:prstGeom prst="rect">
          <a:avLst/>
        </a:prstGeom>
      </xdr:spPr>
    </xdr:pic>
  </etc:cellImage>
  <etc:cellImage>
    <xdr:pic>
      <xdr:nvPicPr>
        <xdr:cNvPr id="72" name="ID_9064DFE81BD643DD95E508E82168D5CC" descr="upload_post_object_v2_804250748"/>
        <xdr:cNvPicPr/>
      </xdr:nvPicPr>
      <xdr:blipFill>
        <a:blip r:embed="rId85"/>
        <a:stretch>
          <a:fillRect/>
        </a:stretch>
      </xdr:blipFill>
      <xdr:spPr>
        <a:xfrm>
          <a:off x="0" y="0"/>
          <a:ext cx="3714750" cy="8039100"/>
        </a:xfrm>
        <a:prstGeom prst="rect">
          <a:avLst/>
        </a:prstGeom>
      </xdr:spPr>
    </xdr:pic>
  </etc:cellImage>
  <etc:cellImage>
    <xdr:pic>
      <xdr:nvPicPr>
        <xdr:cNvPr id="208" name="ID_A201CD164C1048F0A5A77A992B98AA62"/>
        <xdr:cNvPicPr>
          <a:picLocks noChangeAspect="1"/>
        </xdr:cNvPicPr>
      </xdr:nvPicPr>
      <xdr:blipFill>
        <a:blip r:embed="rId86"/>
        <a:stretch>
          <a:fillRect/>
        </a:stretch>
      </xdr:blipFill>
      <xdr:spPr>
        <a:xfrm rot="10800000" flipV="1">
          <a:off x="7294880" y="6369050"/>
          <a:ext cx="1139190" cy="689610"/>
        </a:xfrm>
        <a:prstGeom prst="rect">
          <a:avLst/>
        </a:prstGeom>
        <a:noFill/>
        <a:ln w="1">
          <a:noFill/>
        </a:ln>
      </xdr:spPr>
    </xdr:pic>
  </etc:cellImage>
  <etc:cellImage>
    <xdr:pic>
      <xdr:nvPicPr>
        <xdr:cNvPr id="128" name="ID_A32C13B4935D49EB8673105E7033C45D"/>
        <xdr:cNvPicPr>
          <a:picLocks noChangeAspect="1"/>
        </xdr:cNvPicPr>
      </xdr:nvPicPr>
      <xdr:blipFill>
        <a:blip r:embed="rId87"/>
        <a:stretch>
          <a:fillRect/>
        </a:stretch>
      </xdr:blipFill>
      <xdr:spPr>
        <a:xfrm>
          <a:off x="7484110" y="1050925"/>
          <a:ext cx="1006475" cy="648335"/>
        </a:xfrm>
        <a:prstGeom prst="rect">
          <a:avLst/>
        </a:prstGeom>
        <a:noFill/>
        <a:ln w="1">
          <a:noFill/>
        </a:ln>
      </xdr:spPr>
    </xdr:pic>
  </etc:cellImage>
  <etc:cellImage>
    <xdr:pic>
      <xdr:nvPicPr>
        <xdr:cNvPr id="232" name="ID_09E7536916E84BCBA8400576DA4D224E"/>
        <xdr:cNvPicPr>
          <a:picLocks noChangeAspect="1"/>
        </xdr:cNvPicPr>
      </xdr:nvPicPr>
      <xdr:blipFill>
        <a:blip r:embed="rId88"/>
        <a:stretch>
          <a:fillRect/>
        </a:stretch>
      </xdr:blipFill>
      <xdr:spPr>
        <a:xfrm>
          <a:off x="7257415" y="48691800"/>
          <a:ext cx="368935" cy="361950"/>
        </a:xfrm>
        <a:prstGeom prst="rect">
          <a:avLst/>
        </a:prstGeom>
        <a:noFill/>
        <a:ln w="9525">
          <a:noFill/>
        </a:ln>
      </xdr:spPr>
    </xdr:pic>
  </etc:cellImage>
  <etc:cellImage>
    <xdr:pic>
      <xdr:nvPicPr>
        <xdr:cNvPr id="134" name="ID_96ECF05AD08741FB94C6C3348ACB44FA"/>
        <xdr:cNvPicPr>
          <a:picLocks noChangeAspect="1"/>
        </xdr:cNvPicPr>
      </xdr:nvPicPr>
      <xdr:blipFill>
        <a:blip r:embed="rId89"/>
        <a:stretch>
          <a:fillRect/>
        </a:stretch>
      </xdr:blipFill>
      <xdr:spPr>
        <a:xfrm>
          <a:off x="7456805" y="1849755"/>
          <a:ext cx="1033145" cy="574040"/>
        </a:xfrm>
        <a:prstGeom prst="rect">
          <a:avLst/>
        </a:prstGeom>
        <a:noFill/>
        <a:ln w="9525">
          <a:noFill/>
        </a:ln>
      </xdr:spPr>
    </xdr:pic>
  </etc:cellImage>
  <etc:cellImage>
    <xdr:pic>
      <xdr:nvPicPr>
        <xdr:cNvPr id="627" name="ID_6E9CFF4970344FBB8D3E71278B998630"/>
        <xdr:cNvPicPr>
          <a:picLocks noChangeAspect="1"/>
        </xdr:cNvPicPr>
      </xdr:nvPicPr>
      <xdr:blipFill>
        <a:blip r:embed="rId90"/>
        <a:stretch>
          <a:fillRect/>
        </a:stretch>
      </xdr:blipFill>
      <xdr:spPr>
        <a:xfrm flipH="1">
          <a:off x="88084660" y="40347265"/>
          <a:ext cx="680720" cy="686435"/>
        </a:xfrm>
        <a:prstGeom prst="rect">
          <a:avLst/>
        </a:prstGeom>
        <a:noFill/>
        <a:ln w="9525">
          <a:noFill/>
        </a:ln>
      </xdr:spPr>
    </xdr:pic>
  </etc:cellImage>
  <etc:cellImage>
    <xdr:pic>
      <xdr:nvPicPr>
        <xdr:cNvPr id="10" name="ID_44376CE2AB17437183B4E3D0701A157A" descr="upload_post_object_v2_166225809"/>
        <xdr:cNvPicPr/>
      </xdr:nvPicPr>
      <xdr:blipFill>
        <a:blip r:embed="rId91"/>
        <a:stretch>
          <a:fillRect/>
        </a:stretch>
      </xdr:blipFill>
      <xdr:spPr>
        <a:xfrm>
          <a:off x="0" y="0"/>
          <a:ext cx="4762500" cy="6350000"/>
        </a:xfrm>
        <a:prstGeom prst="rect">
          <a:avLst/>
        </a:prstGeom>
      </xdr:spPr>
    </xdr:pic>
  </etc:cellImage>
  <etc:cellImage>
    <xdr:pic>
      <xdr:nvPicPr>
        <xdr:cNvPr id="204" name="ID_EFB02AD316304A31B0E706C517DC7E0D"/>
        <xdr:cNvPicPr>
          <a:picLocks noChangeAspect="1"/>
        </xdr:cNvPicPr>
      </xdr:nvPicPr>
      <xdr:blipFill>
        <a:blip r:embed="rId92"/>
        <a:stretch>
          <a:fillRect/>
        </a:stretch>
      </xdr:blipFill>
      <xdr:spPr>
        <a:xfrm>
          <a:off x="7252970" y="2567940"/>
          <a:ext cx="1176020" cy="647065"/>
        </a:xfrm>
        <a:prstGeom prst="rect">
          <a:avLst/>
        </a:prstGeom>
        <a:noFill/>
        <a:ln w="9525">
          <a:noFill/>
        </a:ln>
      </xdr:spPr>
    </xdr:pic>
  </etc:cellImage>
  <etc:cellImage>
    <xdr:pic>
      <xdr:nvPicPr>
        <xdr:cNvPr id="219" name="ID_D3E479D066CE44FFADEAC6202A47265C"/>
        <xdr:cNvPicPr/>
      </xdr:nvPicPr>
      <xdr:blipFill>
        <a:blip r:embed="rId93"/>
        <a:stretch>
          <a:fillRect/>
        </a:stretch>
      </xdr:blipFill>
      <xdr:spPr>
        <a:xfrm>
          <a:off x="7412990" y="48298100"/>
          <a:ext cx="260350" cy="307975"/>
        </a:xfrm>
        <a:prstGeom prst="rect">
          <a:avLst/>
        </a:prstGeom>
      </xdr:spPr>
    </xdr:pic>
  </etc:cellImage>
  <etc:cellImage>
    <xdr:pic>
      <xdr:nvPicPr>
        <xdr:cNvPr id="203" name="ID_45FA992143B94AC2A3873416DCA770D5"/>
        <xdr:cNvPicPr>
          <a:picLocks noChangeAspect="1"/>
        </xdr:cNvPicPr>
      </xdr:nvPicPr>
      <xdr:blipFill>
        <a:blip r:embed="rId94"/>
        <a:stretch>
          <a:fillRect/>
        </a:stretch>
      </xdr:blipFill>
      <xdr:spPr>
        <a:xfrm>
          <a:off x="7283450" y="3407410"/>
          <a:ext cx="771525" cy="485775"/>
        </a:xfrm>
        <a:prstGeom prst="rect">
          <a:avLst/>
        </a:prstGeom>
        <a:noFill/>
        <a:ln w="9525">
          <a:noFill/>
        </a:ln>
      </xdr:spPr>
    </xdr:pic>
  </etc:cellImage>
  <etc:cellImage>
    <xdr:pic>
      <xdr:nvPicPr>
        <xdr:cNvPr id="11" name="ID_F7F5CB40F81742598108BA461CA97317" descr="upload_post_object_v2_3683933528"/>
        <xdr:cNvPicPr/>
      </xdr:nvPicPr>
      <xdr:blipFill>
        <a:blip r:embed="rId95"/>
        <a:stretch>
          <a:fillRect/>
        </a:stretch>
      </xdr:blipFill>
      <xdr:spPr>
        <a:xfrm>
          <a:off x="0" y="0"/>
          <a:ext cx="822960" cy="716280"/>
        </a:xfrm>
        <a:prstGeom prst="rect">
          <a:avLst/>
        </a:prstGeom>
      </xdr:spPr>
    </xdr:pic>
  </etc:cellImage>
  <etc:cellImage>
    <xdr:pic>
      <xdr:nvPicPr>
        <xdr:cNvPr id="127" name="ID_BC9B5F8950A74A9E840BD5B1E686BBB6"/>
        <xdr:cNvPicPr>
          <a:picLocks noChangeAspect="1"/>
        </xdr:cNvPicPr>
      </xdr:nvPicPr>
      <xdr:blipFill>
        <a:blip r:embed="rId96"/>
        <a:stretch>
          <a:fillRect/>
        </a:stretch>
      </xdr:blipFill>
      <xdr:spPr>
        <a:xfrm>
          <a:off x="7531100" y="4144010"/>
          <a:ext cx="840105" cy="567690"/>
        </a:xfrm>
        <a:prstGeom prst="rect">
          <a:avLst/>
        </a:prstGeom>
        <a:noFill/>
        <a:ln w="1">
          <a:noFill/>
        </a:ln>
      </xdr:spPr>
    </xdr:pic>
  </etc:cellImage>
  <etc:cellImage>
    <xdr:pic>
      <xdr:nvPicPr>
        <xdr:cNvPr id="67" name="ID_0B64EFCAD9CC497BB4BA620EA386687B" descr="upload_post_object_v2_3052295859"/>
        <xdr:cNvPicPr/>
      </xdr:nvPicPr>
      <xdr:blipFill>
        <a:blip r:embed="rId97"/>
        <a:stretch>
          <a:fillRect/>
        </a:stretch>
      </xdr:blipFill>
      <xdr:spPr>
        <a:xfrm>
          <a:off x="0" y="0"/>
          <a:ext cx="1485900" cy="1517650"/>
        </a:xfrm>
        <a:prstGeom prst="rect">
          <a:avLst/>
        </a:prstGeom>
      </xdr:spPr>
    </xdr:pic>
  </etc:cellImage>
  <etc:cellImage>
    <xdr:pic>
      <xdr:nvPicPr>
        <xdr:cNvPr id="86" name="ID_CB2F7A555D284524AF18B1C7ECE79B96" descr="upload_post_object_v2_474219959"/>
        <xdr:cNvPicPr/>
      </xdr:nvPicPr>
      <xdr:blipFill>
        <a:blip r:embed="rId98"/>
        <a:stretch>
          <a:fillRect/>
        </a:stretch>
      </xdr:blipFill>
      <xdr:spPr>
        <a:xfrm>
          <a:off x="0" y="0"/>
          <a:ext cx="774700" cy="768350"/>
        </a:xfrm>
        <a:prstGeom prst="rect">
          <a:avLst/>
        </a:prstGeom>
      </xdr:spPr>
    </xdr:pic>
  </etc:cellImage>
  <etc:cellImage>
    <xdr:pic>
      <xdr:nvPicPr>
        <xdr:cNvPr id="138" name="ID_71F889D8358049FCB22DE6DA6448BEC2" descr="upload_post_object_v2_1183815357"/>
        <xdr:cNvPicPr/>
      </xdr:nvPicPr>
      <xdr:blipFill>
        <a:blip r:embed="rId99"/>
        <a:stretch>
          <a:fillRect/>
        </a:stretch>
      </xdr:blipFill>
      <xdr:spPr>
        <a:xfrm>
          <a:off x="0" y="0"/>
          <a:ext cx="1716405" cy="3815080"/>
        </a:xfrm>
        <a:prstGeom prst="rect">
          <a:avLst/>
        </a:prstGeom>
      </xdr:spPr>
    </xdr:pic>
  </etc:cellImage>
  <etc:cellImage>
    <xdr:pic>
      <xdr:nvPicPr>
        <xdr:cNvPr id="13" name="ID_701632D68F394F5DB395DC02472ED230" descr="upload_post_object_v2_1825754813"/>
        <xdr:cNvPicPr/>
      </xdr:nvPicPr>
      <xdr:blipFill>
        <a:blip r:embed="rId100"/>
        <a:stretch>
          <a:fillRect/>
        </a:stretch>
      </xdr:blipFill>
      <xdr:spPr>
        <a:xfrm>
          <a:off x="0" y="0"/>
          <a:ext cx="1790700" cy="1485900"/>
        </a:xfrm>
        <a:prstGeom prst="rect">
          <a:avLst/>
        </a:prstGeom>
      </xdr:spPr>
    </xdr:pic>
  </etc:cellImage>
  <etc:cellImage>
    <xdr:pic>
      <xdr:nvPicPr>
        <xdr:cNvPr id="228" name="ID_C664146C70D24307BF315B35D4357643"/>
        <xdr:cNvPicPr>
          <a:picLocks noChangeAspect="1"/>
        </xdr:cNvPicPr>
      </xdr:nvPicPr>
      <xdr:blipFill>
        <a:blip r:embed="rId101"/>
        <a:stretch>
          <a:fillRect/>
        </a:stretch>
      </xdr:blipFill>
      <xdr:spPr>
        <a:xfrm>
          <a:off x="7698105" y="39923085"/>
          <a:ext cx="638175" cy="673100"/>
        </a:xfrm>
        <a:prstGeom prst="rect">
          <a:avLst/>
        </a:prstGeom>
        <a:noFill/>
        <a:ln w="9525">
          <a:noFill/>
        </a:ln>
      </xdr:spPr>
    </xdr:pic>
  </etc:cellImage>
  <etc:cellImage>
    <xdr:pic>
      <xdr:nvPicPr>
        <xdr:cNvPr id="97" name="ID_040A09DB84F643F199CDD530E53B66DB" descr="upload_post_object_v2_1630221303"/>
        <xdr:cNvPicPr/>
      </xdr:nvPicPr>
      <xdr:blipFill>
        <a:blip r:embed="rId102"/>
        <a:stretch>
          <a:fillRect/>
        </a:stretch>
      </xdr:blipFill>
      <xdr:spPr>
        <a:xfrm>
          <a:off x="0" y="0"/>
          <a:ext cx="590550" cy="762000"/>
        </a:xfrm>
        <a:prstGeom prst="rect">
          <a:avLst/>
        </a:prstGeom>
      </xdr:spPr>
    </xdr:pic>
  </etc:cellImage>
  <etc:cellImage>
    <xdr:pic>
      <xdr:nvPicPr>
        <xdr:cNvPr id="126" name="ID_349EED5D09A1749C78515D66027500FC" descr="2024-06-03 13:15:36.614000"/>
        <xdr:cNvPicPr/>
      </xdr:nvPicPr>
      <xdr:blipFill>
        <a:blip r:embed="rId103"/>
        <a:stretch>
          <a:fillRect/>
        </a:stretch>
      </xdr:blipFill>
      <xdr:spPr>
        <a:xfrm>
          <a:off x="0" y="0"/>
          <a:ext cx="5480685" cy="10058400"/>
        </a:xfrm>
        <a:prstGeom prst="rect">
          <a:avLst/>
        </a:prstGeom>
      </xdr:spPr>
    </xdr:pic>
  </etc:cellImage>
  <etc:cellImage>
    <xdr:pic>
      <xdr:nvPicPr>
        <xdr:cNvPr id="21" name="ID_49C3677FEA0B4DAF82C2CA0F9D77725F" descr="upload_post_object_v2_2959121616"/>
        <xdr:cNvPicPr/>
      </xdr:nvPicPr>
      <xdr:blipFill>
        <a:blip r:embed="rId104"/>
        <a:stretch>
          <a:fillRect/>
        </a:stretch>
      </xdr:blipFill>
      <xdr:spPr>
        <a:xfrm>
          <a:off x="0" y="0"/>
          <a:ext cx="1568450" cy="1543050"/>
        </a:xfrm>
        <a:prstGeom prst="rect">
          <a:avLst/>
        </a:prstGeom>
      </xdr:spPr>
    </xdr:pic>
  </etc:cellImage>
  <etc:cellImage>
    <xdr:pic>
      <xdr:nvPicPr>
        <xdr:cNvPr id="212" name="ID_542199881D2F4737B6A7662A5815065A"/>
        <xdr:cNvPicPr>
          <a:picLocks noChangeAspect="1"/>
        </xdr:cNvPicPr>
      </xdr:nvPicPr>
      <xdr:blipFill>
        <a:blip r:embed="rId105"/>
        <a:stretch>
          <a:fillRect/>
        </a:stretch>
      </xdr:blipFill>
      <xdr:spPr>
        <a:xfrm>
          <a:off x="7330440" y="20137120"/>
          <a:ext cx="1319530" cy="594995"/>
        </a:xfrm>
        <a:prstGeom prst="rect">
          <a:avLst/>
        </a:prstGeom>
        <a:noFill/>
        <a:ln w="9525">
          <a:noFill/>
        </a:ln>
      </xdr:spPr>
    </xdr:pic>
  </etc:cellImage>
  <etc:cellImage>
    <xdr:pic>
      <xdr:nvPicPr>
        <xdr:cNvPr id="25" name="ID_AC148E71791046AFB165BE9BB4065364" descr="upload_post_object_v2_3020330628"/>
        <xdr:cNvPicPr/>
      </xdr:nvPicPr>
      <xdr:blipFill>
        <a:blip r:embed="rId106"/>
        <a:stretch>
          <a:fillRect/>
        </a:stretch>
      </xdr:blipFill>
      <xdr:spPr>
        <a:xfrm>
          <a:off x="0" y="0"/>
          <a:ext cx="5080000" cy="5080000"/>
        </a:xfrm>
        <a:prstGeom prst="rect">
          <a:avLst/>
        </a:prstGeom>
      </xdr:spPr>
    </xdr:pic>
  </etc:cellImage>
  <etc:cellImage>
    <xdr:pic>
      <xdr:nvPicPr>
        <xdr:cNvPr id="227" name="ID_E79396F70A9F4DC0BC8D4215353A1F05"/>
        <xdr:cNvPicPr>
          <a:picLocks noChangeAspect="1"/>
        </xdr:cNvPicPr>
      </xdr:nvPicPr>
      <xdr:blipFill>
        <a:blip r:embed="rId107"/>
        <a:stretch>
          <a:fillRect/>
        </a:stretch>
      </xdr:blipFill>
      <xdr:spPr>
        <a:xfrm>
          <a:off x="7479030" y="37734240"/>
          <a:ext cx="1014095" cy="419735"/>
        </a:xfrm>
        <a:prstGeom prst="rect">
          <a:avLst/>
        </a:prstGeom>
        <a:noFill/>
        <a:ln w="9525">
          <a:noFill/>
        </a:ln>
      </xdr:spPr>
    </xdr:pic>
  </etc:cellImage>
  <etc:cellImage>
    <xdr:pic>
      <xdr:nvPicPr>
        <xdr:cNvPr id="210" name="ID_D3CC4014A2974AAB8C254A3E0F4BAD0B"/>
        <xdr:cNvPicPr>
          <a:picLocks noChangeAspect="1"/>
        </xdr:cNvPicPr>
      </xdr:nvPicPr>
      <xdr:blipFill>
        <a:blip r:embed="rId108"/>
        <a:stretch>
          <a:fillRect/>
        </a:stretch>
      </xdr:blipFill>
      <xdr:spPr>
        <a:xfrm>
          <a:off x="7524750" y="10243820"/>
          <a:ext cx="910590" cy="612775"/>
        </a:xfrm>
        <a:prstGeom prst="rect">
          <a:avLst/>
        </a:prstGeom>
        <a:noFill/>
        <a:ln w="9525">
          <a:noFill/>
        </a:ln>
      </xdr:spPr>
    </xdr:pic>
  </etc:cellImage>
  <etc:cellImage>
    <xdr:pic>
      <xdr:nvPicPr>
        <xdr:cNvPr id="252" name="ID_9AAD4588FA274B67AFC8406D9D44F9FB" descr="upload_post_object_v2_2535083631"/>
        <xdr:cNvPicPr/>
      </xdr:nvPicPr>
      <xdr:blipFill>
        <a:blip r:embed="rId109"/>
        <a:stretch>
          <a:fillRect/>
        </a:stretch>
      </xdr:blipFill>
      <xdr:spPr>
        <a:xfrm>
          <a:off x="0" y="0"/>
          <a:ext cx="4762500" cy="6350000"/>
        </a:xfrm>
        <a:prstGeom prst="rect">
          <a:avLst/>
        </a:prstGeom>
      </xdr:spPr>
    </xdr:pic>
  </etc:cellImage>
  <etc:cellImage>
    <xdr:pic>
      <xdr:nvPicPr>
        <xdr:cNvPr id="209" name="ID_F4A8604E367A4ABDA97AA47E566403D3"/>
        <xdr:cNvPicPr>
          <a:picLocks noChangeAspect="1"/>
        </xdr:cNvPicPr>
      </xdr:nvPicPr>
      <xdr:blipFill>
        <a:blip r:embed="rId110"/>
        <a:stretch>
          <a:fillRect/>
        </a:stretch>
      </xdr:blipFill>
      <xdr:spPr>
        <a:xfrm>
          <a:off x="7454900" y="41475025"/>
          <a:ext cx="844550" cy="618490"/>
        </a:xfrm>
        <a:prstGeom prst="rect">
          <a:avLst/>
        </a:prstGeom>
        <a:noFill/>
        <a:ln w="9525">
          <a:noFill/>
        </a:ln>
      </xdr:spPr>
    </xdr:pic>
  </etc:cellImage>
  <etc:cellImage>
    <xdr:pic>
      <xdr:nvPicPr>
        <xdr:cNvPr id="211" name="ID_F30CFD63461F4D6A82C189943C577C79"/>
        <xdr:cNvPicPr>
          <a:picLocks noChangeAspect="1"/>
        </xdr:cNvPicPr>
      </xdr:nvPicPr>
      <xdr:blipFill>
        <a:blip r:embed="rId111" r:link="rId112"/>
        <a:stretch>
          <a:fillRect/>
        </a:stretch>
      </xdr:blipFill>
      <xdr:spPr>
        <a:xfrm>
          <a:off x="7470140" y="11777345"/>
          <a:ext cx="832485" cy="593725"/>
        </a:xfrm>
        <a:prstGeom prst="rect">
          <a:avLst/>
        </a:prstGeom>
        <a:noFill/>
        <a:ln w="9525">
          <a:noFill/>
        </a:ln>
      </xdr:spPr>
    </xdr:pic>
  </etc:cellImage>
  <etc:cellImage>
    <xdr:pic>
      <xdr:nvPicPr>
        <xdr:cNvPr id="30" name="ID_9C454C15EDA8483FA2597B20470231F3" descr="upload_post_object_v2_3165228606"/>
        <xdr:cNvPicPr/>
      </xdr:nvPicPr>
      <xdr:blipFill>
        <a:blip r:embed="rId113"/>
        <a:stretch>
          <a:fillRect/>
        </a:stretch>
      </xdr:blipFill>
      <xdr:spPr>
        <a:xfrm>
          <a:off x="0" y="0"/>
          <a:ext cx="815340" cy="784860"/>
        </a:xfrm>
        <a:prstGeom prst="rect">
          <a:avLst/>
        </a:prstGeom>
      </xdr:spPr>
    </xdr:pic>
  </etc:cellImage>
  <etc:cellImage>
    <xdr:pic>
      <xdr:nvPicPr>
        <xdr:cNvPr id="226" name="ID_3EAA76580F8A4A4C9DB664EE03D43933"/>
        <xdr:cNvPicPr/>
      </xdr:nvPicPr>
      <xdr:blipFill>
        <a:blip r:embed="rId114"/>
        <a:stretch>
          <a:fillRect/>
        </a:stretch>
      </xdr:blipFill>
      <xdr:spPr>
        <a:xfrm>
          <a:off x="7372350" y="46767750"/>
          <a:ext cx="695325" cy="295275"/>
        </a:xfrm>
        <a:prstGeom prst="rect">
          <a:avLst/>
        </a:prstGeom>
      </xdr:spPr>
    </xdr:pic>
  </etc:cellImage>
  <etc:cellImage>
    <xdr:pic>
      <xdr:nvPicPr>
        <xdr:cNvPr id="242" name="ID_3084D57C880546DD83CA784A4F7EE4A9" descr="upload_post_object_v2_4071849951"/>
        <xdr:cNvPicPr/>
      </xdr:nvPicPr>
      <xdr:blipFill>
        <a:blip r:embed="rId115"/>
        <a:stretch>
          <a:fillRect/>
        </a:stretch>
      </xdr:blipFill>
      <xdr:spPr>
        <a:xfrm>
          <a:off x="0" y="0"/>
          <a:ext cx="2381250" cy="3175000"/>
        </a:xfrm>
        <a:prstGeom prst="rect">
          <a:avLst/>
        </a:prstGeom>
      </xdr:spPr>
    </xdr:pic>
  </etc:cellImage>
  <etc:cellImage>
    <xdr:pic>
      <xdr:nvPicPr>
        <xdr:cNvPr id="69" name="ID_6CD3E533898842948A4973C5248E9E56" descr="upload_post_object_v2_1877168559"/>
        <xdr:cNvPicPr/>
      </xdr:nvPicPr>
      <xdr:blipFill>
        <a:blip r:embed="rId116"/>
        <a:stretch>
          <a:fillRect/>
        </a:stretch>
      </xdr:blipFill>
      <xdr:spPr>
        <a:xfrm>
          <a:off x="0" y="0"/>
          <a:ext cx="1263650" cy="1403350"/>
        </a:xfrm>
        <a:prstGeom prst="rect">
          <a:avLst/>
        </a:prstGeom>
      </xdr:spPr>
    </xdr:pic>
  </etc:cellImage>
  <etc:cellImage>
    <xdr:pic>
      <xdr:nvPicPr>
        <xdr:cNvPr id="214" name="ID_C4069CCF183C4E6180BBCEB2E3B44A67"/>
        <xdr:cNvPicPr>
          <a:picLocks noChangeAspect="1"/>
        </xdr:cNvPicPr>
      </xdr:nvPicPr>
      <xdr:blipFill>
        <a:blip r:embed="rId117"/>
        <a:stretch>
          <a:fillRect/>
        </a:stretch>
      </xdr:blipFill>
      <xdr:spPr>
        <a:xfrm rot="10800000" flipV="1">
          <a:off x="7407275" y="14827250"/>
          <a:ext cx="993775" cy="539115"/>
        </a:xfrm>
        <a:prstGeom prst="rect">
          <a:avLst/>
        </a:prstGeom>
        <a:noFill/>
        <a:ln w="9525">
          <a:noFill/>
        </a:ln>
      </xdr:spPr>
    </xdr:pic>
  </etc:cellImage>
  <etc:cellImage>
    <xdr:pic>
      <xdr:nvPicPr>
        <xdr:cNvPr id="88" name="ID_2624DECBD687429A9129341B73BE9E3C" descr="upload_post_object_v2_2665861107"/>
        <xdr:cNvPicPr/>
      </xdr:nvPicPr>
      <xdr:blipFill>
        <a:blip r:embed="rId118"/>
        <a:stretch>
          <a:fillRect/>
        </a:stretch>
      </xdr:blipFill>
      <xdr:spPr>
        <a:xfrm>
          <a:off x="0" y="0"/>
          <a:ext cx="914400" cy="635000"/>
        </a:xfrm>
        <a:prstGeom prst="rect">
          <a:avLst/>
        </a:prstGeom>
      </xdr:spPr>
    </xdr:pic>
  </etc:cellImage>
  <etc:cellImage>
    <xdr:pic>
      <xdr:nvPicPr>
        <xdr:cNvPr id="231" name="ID_B7A3F4232FBB4A0DBE4230759C9D1A5D"/>
        <xdr:cNvPicPr/>
      </xdr:nvPicPr>
      <xdr:blipFill>
        <a:blip r:embed="rId119"/>
        <a:stretch>
          <a:fillRect/>
        </a:stretch>
      </xdr:blipFill>
      <xdr:spPr>
        <a:xfrm>
          <a:off x="7327265" y="47952025"/>
          <a:ext cx="428625" cy="255905"/>
        </a:xfrm>
        <a:prstGeom prst="rect">
          <a:avLst/>
        </a:prstGeom>
      </xdr:spPr>
    </xdr:pic>
  </etc:cellImage>
  <etc:cellImage>
    <xdr:pic>
      <xdr:nvPicPr>
        <xdr:cNvPr id="215" name="ID_DFD31D6B4C784B6CBDD5CAD940A40145" descr="upload_post_object_v2_3249651997"/>
        <xdr:cNvPicPr/>
      </xdr:nvPicPr>
      <xdr:blipFill>
        <a:blip r:embed="rId120"/>
        <a:stretch>
          <a:fillRect/>
        </a:stretch>
      </xdr:blipFill>
      <xdr:spPr>
        <a:xfrm>
          <a:off x="0" y="0"/>
          <a:ext cx="5080000" cy="5080000"/>
        </a:xfrm>
        <a:prstGeom prst="rect">
          <a:avLst/>
        </a:prstGeom>
      </xdr:spPr>
    </xdr:pic>
  </etc:cellImage>
  <etc:cellImage>
    <xdr:pic>
      <xdr:nvPicPr>
        <xdr:cNvPr id="32" name="ID_8E7E57ECBF854C9FB6CF352787AB5110" descr="upload_post_object_v2_850563380"/>
        <xdr:cNvPicPr/>
      </xdr:nvPicPr>
      <xdr:blipFill>
        <a:blip r:embed="rId121"/>
        <a:stretch>
          <a:fillRect/>
        </a:stretch>
      </xdr:blipFill>
      <xdr:spPr>
        <a:xfrm>
          <a:off x="0" y="0"/>
          <a:ext cx="2540000" cy="2540000"/>
        </a:xfrm>
        <a:prstGeom prst="rect">
          <a:avLst/>
        </a:prstGeom>
      </xdr:spPr>
    </xdr:pic>
  </etc:cellImage>
  <etc:cellImage>
    <xdr:pic>
      <xdr:nvPicPr>
        <xdr:cNvPr id="217" name="ID_0DA2A22232154BF3AD240526BA3BDAA6" descr="upload_post_object_v2_3779201436"/>
        <xdr:cNvPicPr/>
      </xdr:nvPicPr>
      <xdr:blipFill>
        <a:blip r:embed="rId122"/>
        <a:stretch>
          <a:fillRect/>
        </a:stretch>
      </xdr:blipFill>
      <xdr:spPr>
        <a:xfrm>
          <a:off x="0" y="0"/>
          <a:ext cx="3714750" cy="8039100"/>
        </a:xfrm>
        <a:prstGeom prst="rect">
          <a:avLst/>
        </a:prstGeom>
      </xdr:spPr>
    </xdr:pic>
  </etc:cellImage>
  <etc:cellImage>
    <xdr:pic>
      <xdr:nvPicPr>
        <xdr:cNvPr id="78" name="ID_EA02906B18C648FB886EB0A5D8E92FC4" descr="upload_post_object_v2_2297998781"/>
        <xdr:cNvPicPr/>
      </xdr:nvPicPr>
      <xdr:blipFill>
        <a:blip r:embed="rId123"/>
        <a:stretch>
          <a:fillRect/>
        </a:stretch>
      </xdr:blipFill>
      <xdr:spPr>
        <a:xfrm>
          <a:off x="0" y="0"/>
          <a:ext cx="869950" cy="736600"/>
        </a:xfrm>
        <a:prstGeom prst="rect">
          <a:avLst/>
        </a:prstGeom>
      </xdr:spPr>
    </xdr:pic>
  </etc:cellImage>
  <etc:cellImage>
    <xdr:pic>
      <xdr:nvPicPr>
        <xdr:cNvPr id="202" name="ID_C2E04ED39CE04B3D841E1FEF4339E156"/>
        <xdr:cNvPicPr/>
      </xdr:nvPicPr>
      <xdr:blipFill>
        <a:blip r:embed="rId124"/>
        <a:stretch>
          <a:fillRect/>
        </a:stretch>
      </xdr:blipFill>
      <xdr:spPr>
        <a:xfrm>
          <a:off x="7305040" y="47588805"/>
          <a:ext cx="660400" cy="290195"/>
        </a:xfrm>
        <a:prstGeom prst="rect">
          <a:avLst/>
        </a:prstGeom>
      </xdr:spPr>
    </xdr:pic>
  </etc:cellImage>
  <etc:cellImage>
    <xdr:pic>
      <xdr:nvPicPr>
        <xdr:cNvPr id="218" name="ID_E1121E067A6140DBA55AC76B626AB720" descr="upload_post_object_v2_480827834"/>
        <xdr:cNvPicPr/>
      </xdr:nvPicPr>
      <xdr:blipFill>
        <a:blip r:embed="rId125"/>
        <a:stretch>
          <a:fillRect/>
        </a:stretch>
      </xdr:blipFill>
      <xdr:spPr>
        <a:xfrm>
          <a:off x="0" y="0"/>
          <a:ext cx="3714750" cy="8039100"/>
        </a:xfrm>
        <a:prstGeom prst="rect">
          <a:avLst/>
        </a:prstGeom>
      </xdr:spPr>
    </xdr:pic>
  </etc:cellImage>
  <etc:cellImage>
    <xdr:pic>
      <xdr:nvPicPr>
        <xdr:cNvPr id="58" name="ID_0EC7AC7ECC6F4F83B625504504CE0319" descr="upload_post_object_v2_3704978552"/>
        <xdr:cNvPicPr/>
      </xdr:nvPicPr>
      <xdr:blipFill>
        <a:blip r:embed="rId126"/>
        <a:stretch>
          <a:fillRect/>
        </a:stretch>
      </xdr:blipFill>
      <xdr:spPr>
        <a:xfrm>
          <a:off x="0" y="0"/>
          <a:ext cx="558800" cy="533400"/>
        </a:xfrm>
        <a:prstGeom prst="rect">
          <a:avLst/>
        </a:prstGeom>
      </xdr:spPr>
    </xdr:pic>
  </etc:cellImage>
  <etc:cellImage>
    <xdr:pic>
      <xdr:nvPicPr>
        <xdr:cNvPr id="220" name="ID_C32E6FB88A21468CADCCE6A5259EA927" descr="upload_post_object_v2_80317156"/>
        <xdr:cNvPicPr/>
      </xdr:nvPicPr>
      <xdr:blipFill>
        <a:blip r:embed="rId127"/>
        <a:stretch>
          <a:fillRect/>
        </a:stretch>
      </xdr:blipFill>
      <xdr:spPr>
        <a:xfrm>
          <a:off x="0" y="0"/>
          <a:ext cx="2540000" cy="2540000"/>
        </a:xfrm>
        <a:prstGeom prst="rect">
          <a:avLst/>
        </a:prstGeom>
      </xdr:spPr>
    </xdr:pic>
  </etc:cellImage>
  <etc:cellImage>
    <xdr:pic>
      <xdr:nvPicPr>
        <xdr:cNvPr id="119" name="ID_C40B4A2C5A914828922BF4F8043FD163" descr="upload_post_object_v2_896326815"/>
        <xdr:cNvPicPr/>
      </xdr:nvPicPr>
      <xdr:blipFill>
        <a:blip r:embed="rId128"/>
        <a:stretch>
          <a:fillRect/>
        </a:stretch>
      </xdr:blipFill>
      <xdr:spPr>
        <a:xfrm>
          <a:off x="0" y="0"/>
          <a:ext cx="2381250" cy="3175000"/>
        </a:xfrm>
        <a:prstGeom prst="rect">
          <a:avLst/>
        </a:prstGeom>
      </xdr:spPr>
    </xdr:pic>
  </etc:cellImage>
  <etc:cellImage>
    <xdr:pic>
      <xdr:nvPicPr>
        <xdr:cNvPr id="221" name="ID_0D94B174231F48679F0FF846268281F7"/>
        <xdr:cNvPicPr>
          <a:picLocks noChangeAspect="1"/>
        </xdr:cNvPicPr>
      </xdr:nvPicPr>
      <xdr:blipFill>
        <a:blip r:embed="rId129"/>
        <a:stretch>
          <a:fillRect/>
        </a:stretch>
      </xdr:blipFill>
      <xdr:spPr>
        <a:xfrm>
          <a:off x="7522210" y="20864195"/>
          <a:ext cx="877570" cy="657225"/>
        </a:xfrm>
        <a:prstGeom prst="rect">
          <a:avLst/>
        </a:prstGeom>
        <a:noFill/>
        <a:ln w="9525">
          <a:noFill/>
        </a:ln>
      </xdr:spPr>
    </xdr:pic>
  </etc:cellImage>
  <etc:cellImage>
    <xdr:pic>
      <xdr:nvPicPr>
        <xdr:cNvPr id="59" name="ID_BDE298C43F2E4495BD7AEC7E1356F903" descr="upload_post_object_v2_1564696278"/>
        <xdr:cNvPicPr/>
      </xdr:nvPicPr>
      <xdr:blipFill>
        <a:blip r:embed="rId130"/>
        <a:stretch>
          <a:fillRect/>
        </a:stretch>
      </xdr:blipFill>
      <xdr:spPr>
        <a:xfrm>
          <a:off x="0" y="0"/>
          <a:ext cx="868680" cy="800100"/>
        </a:xfrm>
        <a:prstGeom prst="rect">
          <a:avLst/>
        </a:prstGeom>
      </xdr:spPr>
    </xdr:pic>
  </etc:cellImage>
  <etc:cellImage>
    <xdr:pic>
      <xdr:nvPicPr>
        <xdr:cNvPr id="60" name="ID_420CD55DDC2B4FC88847EE819D8680C4" descr="upload_post_object_v2_609035684"/>
        <xdr:cNvPicPr/>
      </xdr:nvPicPr>
      <xdr:blipFill>
        <a:blip r:embed="rId131"/>
        <a:stretch>
          <a:fillRect/>
        </a:stretch>
      </xdr:blipFill>
      <xdr:spPr>
        <a:xfrm>
          <a:off x="0" y="0"/>
          <a:ext cx="4648200" cy="4648200"/>
        </a:xfrm>
        <a:prstGeom prst="rect">
          <a:avLst/>
        </a:prstGeom>
      </xdr:spPr>
    </xdr:pic>
  </etc:cellImage>
  <etc:cellImage>
    <xdr:pic>
      <xdr:nvPicPr>
        <xdr:cNvPr id="61" name="ID_01EE444008A94AB9BA301AF35656BCF7" descr="upload_post_object_v2_123903483"/>
        <xdr:cNvPicPr/>
      </xdr:nvPicPr>
      <xdr:blipFill>
        <a:blip r:embed="rId132"/>
        <a:stretch>
          <a:fillRect/>
        </a:stretch>
      </xdr:blipFill>
      <xdr:spPr>
        <a:xfrm>
          <a:off x="0" y="0"/>
          <a:ext cx="1587500" cy="1308100"/>
        </a:xfrm>
        <a:prstGeom prst="rect">
          <a:avLst/>
        </a:prstGeom>
      </xdr:spPr>
    </xdr:pic>
  </etc:cellImage>
  <etc:cellImage>
    <xdr:pic>
      <xdr:nvPicPr>
        <xdr:cNvPr id="223" name="ID_D76DE7FD069D44EE811FF1E732CB805A"/>
        <xdr:cNvPicPr/>
      </xdr:nvPicPr>
      <xdr:blipFill>
        <a:blip r:embed="rId133"/>
        <a:stretch>
          <a:fillRect/>
        </a:stretch>
      </xdr:blipFill>
      <xdr:spPr>
        <a:xfrm>
          <a:off x="7244080" y="49879250"/>
          <a:ext cx="446405" cy="328930"/>
        </a:xfrm>
        <a:prstGeom prst="rect">
          <a:avLst/>
        </a:prstGeom>
      </xdr:spPr>
    </xdr:pic>
  </etc:cellImage>
  <etc:cellImage>
    <xdr:pic>
      <xdr:nvPicPr>
        <xdr:cNvPr id="122" name="ID_B793C62F8AC2473582833639F9A6C9BE" descr="upload_post_object_v2_3617418345"/>
        <xdr:cNvPicPr/>
      </xdr:nvPicPr>
      <xdr:blipFill>
        <a:blip r:embed="rId134"/>
        <a:stretch>
          <a:fillRect/>
        </a:stretch>
      </xdr:blipFill>
      <xdr:spPr>
        <a:xfrm>
          <a:off x="0" y="0"/>
          <a:ext cx="2540000" cy="2540000"/>
        </a:xfrm>
        <a:prstGeom prst="rect">
          <a:avLst/>
        </a:prstGeom>
      </xdr:spPr>
    </xdr:pic>
  </etc:cellImage>
  <etc:cellImage>
    <xdr:pic>
      <xdr:nvPicPr>
        <xdr:cNvPr id="62" name="ID_DC2F26D901B94EE6AD09CC369D4366A8" descr="upload_post_object_v2_2210717483"/>
        <xdr:cNvPicPr/>
      </xdr:nvPicPr>
      <xdr:blipFill>
        <a:blip r:embed="rId135"/>
        <a:stretch>
          <a:fillRect/>
        </a:stretch>
      </xdr:blipFill>
      <xdr:spPr>
        <a:xfrm>
          <a:off x="0" y="0"/>
          <a:ext cx="6801485" cy="10058400"/>
        </a:xfrm>
        <a:prstGeom prst="rect">
          <a:avLst/>
        </a:prstGeom>
      </xdr:spPr>
    </xdr:pic>
  </etc:cellImage>
  <etc:cellImage>
    <xdr:pic>
      <xdr:nvPicPr>
        <xdr:cNvPr id="224" name="ID_2EB4CC886913439BB4C97D49FAF144C1"/>
        <xdr:cNvPicPr>
          <a:picLocks noChangeAspect="1"/>
        </xdr:cNvPicPr>
      </xdr:nvPicPr>
      <xdr:blipFill>
        <a:blip r:embed="rId136"/>
        <a:stretch>
          <a:fillRect/>
        </a:stretch>
      </xdr:blipFill>
      <xdr:spPr>
        <a:xfrm flipH="1">
          <a:off x="7573645" y="26172795"/>
          <a:ext cx="858520" cy="677545"/>
        </a:xfrm>
        <a:prstGeom prst="rect">
          <a:avLst/>
        </a:prstGeom>
        <a:noFill/>
        <a:ln w="9525">
          <a:noFill/>
        </a:ln>
      </xdr:spPr>
    </xdr:pic>
  </etc:cellImage>
  <etc:cellImage>
    <xdr:pic>
      <xdr:nvPicPr>
        <xdr:cNvPr id="63" name="ID_FC8E78D4F0B94E2DBC2ACE99A57C6716" descr="upload_post_object_v2_147373956"/>
        <xdr:cNvPicPr/>
      </xdr:nvPicPr>
      <xdr:blipFill>
        <a:blip r:embed="rId137"/>
        <a:stretch>
          <a:fillRect/>
        </a:stretch>
      </xdr:blipFill>
      <xdr:spPr>
        <a:xfrm>
          <a:off x="0" y="0"/>
          <a:ext cx="869950" cy="704850"/>
        </a:xfrm>
        <a:prstGeom prst="rect">
          <a:avLst/>
        </a:prstGeom>
      </xdr:spPr>
    </xdr:pic>
  </etc:cellImage>
  <etc:cellImage>
    <xdr:pic>
      <xdr:nvPicPr>
        <xdr:cNvPr id="64" name="ID_4238F92ACA4B4276BFAB516C50B9B288" descr="upload_post_object_v2_308071166"/>
        <xdr:cNvPicPr/>
      </xdr:nvPicPr>
      <xdr:blipFill>
        <a:blip r:embed="rId138"/>
        <a:stretch>
          <a:fillRect/>
        </a:stretch>
      </xdr:blipFill>
      <xdr:spPr>
        <a:xfrm>
          <a:off x="0" y="0"/>
          <a:ext cx="1174750" cy="1492250"/>
        </a:xfrm>
        <a:prstGeom prst="rect">
          <a:avLst/>
        </a:prstGeom>
      </xdr:spPr>
    </xdr:pic>
  </etc:cellImage>
  <etc:cellImage>
    <xdr:pic>
      <xdr:nvPicPr>
        <xdr:cNvPr id="65" name="ID_1773C8DB6BF54DB38DDA4F7F8E339475" descr="upload_post_object_v2_865971310"/>
        <xdr:cNvPicPr/>
      </xdr:nvPicPr>
      <xdr:blipFill>
        <a:blip r:embed="rId139"/>
        <a:stretch>
          <a:fillRect/>
        </a:stretch>
      </xdr:blipFill>
      <xdr:spPr>
        <a:xfrm>
          <a:off x="0" y="0"/>
          <a:ext cx="1511300" cy="1504950"/>
        </a:xfrm>
        <a:prstGeom prst="rect">
          <a:avLst/>
        </a:prstGeom>
      </xdr:spPr>
    </xdr:pic>
  </etc:cellImage>
  <etc:cellImage>
    <xdr:pic>
      <xdr:nvPicPr>
        <xdr:cNvPr id="66" name="ID_62DF6F3798C649AF8387F32638EBD37E" descr="upload_post_object_v2_1444336794"/>
        <xdr:cNvPicPr/>
      </xdr:nvPicPr>
      <xdr:blipFill>
        <a:blip r:embed="rId140"/>
        <a:stretch>
          <a:fillRect/>
        </a:stretch>
      </xdr:blipFill>
      <xdr:spPr>
        <a:xfrm>
          <a:off x="0" y="0"/>
          <a:ext cx="3429000" cy="3321050"/>
        </a:xfrm>
        <a:prstGeom prst="rect">
          <a:avLst/>
        </a:prstGeom>
      </xdr:spPr>
    </xdr:pic>
  </etc:cellImage>
  <etc:cellImage>
    <xdr:pic>
      <xdr:nvPicPr>
        <xdr:cNvPr id="125" name="ID_BCECF1E3379D89DEE5515D660D183994" descr="2024-06-03 13:17:25.371000"/>
        <xdr:cNvPicPr/>
      </xdr:nvPicPr>
      <xdr:blipFill>
        <a:blip r:embed="rId141"/>
        <a:stretch>
          <a:fillRect/>
        </a:stretch>
      </xdr:blipFill>
      <xdr:spPr>
        <a:xfrm>
          <a:off x="0" y="0"/>
          <a:ext cx="5480685" cy="10058400"/>
        </a:xfrm>
        <a:prstGeom prst="rect">
          <a:avLst/>
        </a:prstGeom>
      </xdr:spPr>
    </xdr:pic>
  </etc:cellImage>
  <etc:cellImage>
    <xdr:pic>
      <xdr:nvPicPr>
        <xdr:cNvPr id="225" name="ID_B6BCA323B4E74C6FBAD246827352126E"/>
        <xdr:cNvPicPr>
          <a:picLocks noChangeAspect="1"/>
        </xdr:cNvPicPr>
      </xdr:nvPicPr>
      <xdr:blipFill>
        <a:blip r:embed="rId142"/>
        <a:stretch>
          <a:fillRect/>
        </a:stretch>
      </xdr:blipFill>
      <xdr:spPr>
        <a:xfrm>
          <a:off x="7652385" y="38499415"/>
          <a:ext cx="627380" cy="519430"/>
        </a:xfrm>
        <a:prstGeom prst="rect">
          <a:avLst/>
        </a:prstGeom>
        <a:noFill/>
        <a:ln w="9525">
          <a:noFill/>
        </a:ln>
      </xdr:spPr>
    </xdr:pic>
  </etc:cellImage>
  <etc:cellImage>
    <xdr:pic>
      <xdr:nvPicPr>
        <xdr:cNvPr id="216" name="ID_572D97C20597484C92FBCC90E03E647C"/>
        <xdr:cNvPicPr>
          <a:picLocks noChangeAspect="1"/>
        </xdr:cNvPicPr>
      </xdr:nvPicPr>
      <xdr:blipFill>
        <a:blip r:embed="rId143"/>
        <a:stretch>
          <a:fillRect/>
        </a:stretch>
      </xdr:blipFill>
      <xdr:spPr>
        <a:xfrm>
          <a:off x="7390130" y="40772080"/>
          <a:ext cx="937895" cy="558165"/>
        </a:xfrm>
        <a:prstGeom prst="rect">
          <a:avLst/>
        </a:prstGeom>
        <a:noFill/>
        <a:ln w="9525">
          <a:noFill/>
        </a:ln>
      </xdr:spPr>
    </xdr:pic>
  </etc:cellImage>
  <etc:cellImage>
    <xdr:pic>
      <xdr:nvPicPr>
        <xdr:cNvPr id="230" name="ID_776946152C2244EFB931F6E73CA5F1B2"/>
        <xdr:cNvPicPr>
          <a:picLocks noChangeAspect="1"/>
        </xdr:cNvPicPr>
      </xdr:nvPicPr>
      <xdr:blipFill>
        <a:blip r:embed="rId144"/>
        <a:stretch>
          <a:fillRect/>
        </a:stretch>
      </xdr:blipFill>
      <xdr:spPr>
        <a:xfrm flipH="1">
          <a:off x="7493635" y="46024800"/>
          <a:ext cx="819785" cy="632460"/>
        </a:xfrm>
        <a:prstGeom prst="rect">
          <a:avLst/>
        </a:prstGeom>
        <a:noFill/>
        <a:ln w="9525">
          <a:noFill/>
        </a:ln>
      </xdr:spPr>
    </xdr:pic>
  </etc:cellImage>
  <etc:cellImage>
    <xdr:pic>
      <xdr:nvPicPr>
        <xdr:cNvPr id="205" name="ID_0DC5B89EB1B843748F4BD83F84702BF6"/>
        <xdr:cNvPicPr/>
      </xdr:nvPicPr>
      <xdr:blipFill>
        <a:blip r:embed="rId145"/>
        <a:stretch>
          <a:fillRect/>
        </a:stretch>
      </xdr:blipFill>
      <xdr:spPr>
        <a:xfrm>
          <a:off x="7432040" y="47156370"/>
          <a:ext cx="430530" cy="313055"/>
        </a:xfrm>
        <a:prstGeom prst="rect">
          <a:avLst/>
        </a:prstGeom>
      </xdr:spPr>
    </xdr:pic>
  </etc:cellImage>
  <etc:cellImage>
    <xdr:pic>
      <xdr:nvPicPr>
        <xdr:cNvPr id="403" name="ID_0CD451845010443E958D56C3FE4555BF"/>
        <xdr:cNvPicPr/>
      </xdr:nvPicPr>
      <xdr:blipFill>
        <a:blip r:embed="rId146"/>
        <a:stretch>
          <a:fillRect/>
        </a:stretch>
      </xdr:blipFill>
      <xdr:spPr>
        <a:xfrm>
          <a:off x="76829920" y="52063650"/>
          <a:ext cx="614045" cy="354330"/>
        </a:xfrm>
        <a:prstGeom prst="rect">
          <a:avLst/>
        </a:prstGeom>
      </xdr:spPr>
    </xdr:pic>
  </etc:cellImage>
  <etc:cellImage>
    <xdr:pic>
      <xdr:nvPicPr>
        <xdr:cNvPr id="245" name="ID_CB93681704CD422BA3602328068AEB40"/>
        <xdr:cNvPicPr>
          <a:picLocks noChangeAspect="1"/>
        </xdr:cNvPicPr>
      </xdr:nvPicPr>
      <xdr:blipFill>
        <a:blip r:embed="rId147"/>
        <a:stretch>
          <a:fillRect/>
        </a:stretch>
      </xdr:blipFill>
      <xdr:spPr>
        <a:xfrm>
          <a:off x="7078345" y="1813560"/>
          <a:ext cx="592455" cy="672465"/>
        </a:xfrm>
        <a:prstGeom prst="rect">
          <a:avLst/>
        </a:prstGeom>
      </xdr:spPr>
    </xdr:pic>
  </etc:cellImage>
  <etc:cellImage>
    <xdr:pic>
      <xdr:nvPicPr>
        <xdr:cNvPr id="246" name="ID_B4BDA32FC1164FAF801DD84E6126AB23"/>
        <xdr:cNvPicPr>
          <a:picLocks noChangeAspect="1"/>
        </xdr:cNvPicPr>
      </xdr:nvPicPr>
      <xdr:blipFill>
        <a:blip r:embed="rId148"/>
        <a:stretch>
          <a:fillRect/>
        </a:stretch>
      </xdr:blipFill>
      <xdr:spPr>
        <a:xfrm>
          <a:off x="7153275" y="2590800"/>
          <a:ext cx="487045" cy="644525"/>
        </a:xfrm>
        <a:prstGeom prst="rect">
          <a:avLst/>
        </a:prstGeom>
        <a:noFill/>
        <a:ln w="9525">
          <a:noFill/>
        </a:ln>
      </xdr:spPr>
    </xdr:pic>
  </etc:cellImage>
  <etc:cellImage>
    <xdr:pic>
      <xdr:nvPicPr>
        <xdr:cNvPr id="251" name="ID_674B5D2EBB144406905904362077DCB8"/>
        <xdr:cNvPicPr>
          <a:picLocks noChangeAspect="1"/>
        </xdr:cNvPicPr>
      </xdr:nvPicPr>
      <xdr:blipFill>
        <a:blip r:embed="rId149"/>
        <a:stretch>
          <a:fillRect/>
        </a:stretch>
      </xdr:blipFill>
      <xdr:spPr>
        <a:xfrm>
          <a:off x="6770370" y="10183495"/>
          <a:ext cx="998220" cy="634365"/>
        </a:xfrm>
        <a:prstGeom prst="rect">
          <a:avLst/>
        </a:prstGeom>
        <a:noFill/>
        <a:ln w="9525">
          <a:noFill/>
        </a:ln>
      </xdr:spPr>
    </xdr:pic>
  </etc:cellImage>
  <etc:cellImage>
    <xdr:pic>
      <xdr:nvPicPr>
        <xdr:cNvPr id="253" name="ID_667383BE8C6341859F19A977749ACC2D"/>
        <xdr:cNvPicPr>
          <a:picLocks noChangeAspect="1"/>
        </xdr:cNvPicPr>
      </xdr:nvPicPr>
      <xdr:blipFill>
        <a:blip r:embed="rId150"/>
        <a:stretch>
          <a:fillRect/>
        </a:stretch>
      </xdr:blipFill>
      <xdr:spPr>
        <a:xfrm>
          <a:off x="7018020" y="15586075"/>
          <a:ext cx="891540" cy="564515"/>
        </a:xfrm>
        <a:prstGeom prst="rect">
          <a:avLst/>
        </a:prstGeom>
        <a:noFill/>
        <a:ln w="9525">
          <a:noFill/>
        </a:ln>
      </xdr:spPr>
    </xdr:pic>
  </etc:cellImage>
  <etc:cellImage>
    <xdr:pic>
      <xdr:nvPicPr>
        <xdr:cNvPr id="254" name="ID_8A3DA12525AB4EE5BE8DF0DE4B4E2B16"/>
        <xdr:cNvPicPr>
          <a:picLocks noChangeAspect="1"/>
        </xdr:cNvPicPr>
      </xdr:nvPicPr>
      <xdr:blipFill>
        <a:blip r:embed="rId151"/>
        <a:stretch>
          <a:fillRect/>
        </a:stretch>
      </xdr:blipFill>
      <xdr:spPr>
        <a:xfrm>
          <a:off x="6931660" y="16252825"/>
          <a:ext cx="920115" cy="641350"/>
        </a:xfrm>
        <a:prstGeom prst="rect">
          <a:avLst/>
        </a:prstGeom>
        <a:noFill/>
        <a:ln w="9525">
          <a:noFill/>
        </a:ln>
      </xdr:spPr>
    </xdr:pic>
  </etc:cellImage>
  <etc:cellImage>
    <xdr:pic>
      <xdr:nvPicPr>
        <xdr:cNvPr id="68" name="ID_BDEFD5C5803540BE96B02967BEE4BE88"/>
        <xdr:cNvPicPr>
          <a:picLocks noChangeAspect="1"/>
        </xdr:cNvPicPr>
      </xdr:nvPicPr>
      <xdr:blipFill>
        <a:blip r:embed="rId152"/>
        <a:stretch>
          <a:fillRect/>
        </a:stretch>
      </xdr:blipFill>
      <xdr:spPr>
        <a:xfrm>
          <a:off x="57377965" y="63352045"/>
          <a:ext cx="572135" cy="446405"/>
        </a:xfrm>
        <a:prstGeom prst="rect">
          <a:avLst/>
        </a:prstGeom>
        <a:noFill/>
        <a:ln w="9525">
          <a:noFill/>
        </a:ln>
      </xdr:spPr>
    </xdr:pic>
  </etc:cellImage>
  <etc:cellImage>
    <xdr:pic>
      <xdr:nvPicPr>
        <xdr:cNvPr id="70" name="ID_A3CF773EC43342AB8CBC97679727ED4C"/>
        <xdr:cNvPicPr>
          <a:picLocks noChangeAspect="1"/>
        </xdr:cNvPicPr>
      </xdr:nvPicPr>
      <xdr:blipFill>
        <a:blip r:embed="rId153"/>
        <a:stretch>
          <a:fillRect/>
        </a:stretch>
      </xdr:blipFill>
      <xdr:spPr>
        <a:xfrm>
          <a:off x="57482740" y="64504570"/>
          <a:ext cx="441960" cy="395605"/>
        </a:xfrm>
        <a:prstGeom prst="rect">
          <a:avLst/>
        </a:prstGeom>
        <a:noFill/>
        <a:ln w="9525">
          <a:noFill/>
        </a:ln>
      </xdr:spPr>
    </xdr:pic>
  </etc:cellImage>
  <etc:cellImage>
    <xdr:pic>
      <xdr:nvPicPr>
        <xdr:cNvPr id="71" name="ID_860BE2A0BD1F448982B3C1C3DD155E31"/>
        <xdr:cNvPicPr>
          <a:picLocks noChangeAspect="1"/>
        </xdr:cNvPicPr>
      </xdr:nvPicPr>
      <xdr:blipFill>
        <a:blip r:embed="rId154"/>
        <a:stretch>
          <a:fillRect/>
        </a:stretch>
      </xdr:blipFill>
      <xdr:spPr>
        <a:xfrm>
          <a:off x="8126730" y="1095375"/>
          <a:ext cx="895985" cy="676275"/>
        </a:xfrm>
        <a:prstGeom prst="rect">
          <a:avLst/>
        </a:prstGeom>
        <a:noFill/>
        <a:ln w="9525">
          <a:noFill/>
        </a:ln>
      </xdr:spPr>
    </xdr:pic>
  </etc:cellImage>
  <etc:cellImage>
    <xdr:pic>
      <xdr:nvPicPr>
        <xdr:cNvPr id="73" name="ID_644EE778DCE44794B186D466D846B527"/>
        <xdr:cNvPicPr>
          <a:picLocks noChangeAspect="1"/>
        </xdr:cNvPicPr>
      </xdr:nvPicPr>
      <xdr:blipFill>
        <a:blip r:embed="rId155"/>
        <a:stretch>
          <a:fillRect/>
        </a:stretch>
      </xdr:blipFill>
      <xdr:spPr>
        <a:xfrm>
          <a:off x="7341870" y="13276580"/>
          <a:ext cx="913130" cy="770255"/>
        </a:xfrm>
        <a:prstGeom prst="rect">
          <a:avLst/>
        </a:prstGeom>
        <a:noFill/>
        <a:ln w="9525">
          <a:noFill/>
        </a:ln>
      </xdr:spPr>
    </xdr:pic>
  </etc:cellImage>
  <etc:cellImage>
    <xdr:pic>
      <xdr:nvPicPr>
        <xdr:cNvPr id="105" name="ID_5221A867B33F4CCEA7CB98354028CFE8"/>
        <xdr:cNvPicPr>
          <a:picLocks noChangeAspect="1"/>
        </xdr:cNvPicPr>
      </xdr:nvPicPr>
      <xdr:blipFill>
        <a:blip r:embed="rId156"/>
        <a:stretch>
          <a:fillRect/>
        </a:stretch>
      </xdr:blipFill>
      <xdr:spPr>
        <a:xfrm>
          <a:off x="7460615" y="10258425"/>
          <a:ext cx="678815" cy="691515"/>
        </a:xfrm>
        <a:prstGeom prst="rect">
          <a:avLst/>
        </a:prstGeom>
        <a:noFill/>
        <a:ln w="9525">
          <a:noFill/>
        </a:ln>
      </xdr:spPr>
    </xdr:pic>
  </etc:cellImage>
  <etc:cellImage>
    <xdr:pic>
      <xdr:nvPicPr>
        <xdr:cNvPr id="96" name="ID_19BC4177706841728D165B5996150137"/>
        <xdr:cNvPicPr>
          <a:picLocks noChangeAspect="1"/>
        </xdr:cNvPicPr>
      </xdr:nvPicPr>
      <xdr:blipFill>
        <a:blip r:embed="rId157"/>
        <a:stretch>
          <a:fillRect/>
        </a:stretch>
      </xdr:blipFill>
      <xdr:spPr>
        <a:xfrm>
          <a:off x="7629525" y="5706745"/>
          <a:ext cx="575945" cy="654685"/>
        </a:xfrm>
        <a:prstGeom prst="rect">
          <a:avLst/>
        </a:prstGeom>
        <a:noFill/>
        <a:ln w="9525">
          <a:noFill/>
        </a:ln>
      </xdr:spPr>
    </xdr:pic>
  </etc:cellImage>
  <etc:cellImage>
    <xdr:pic>
      <xdr:nvPicPr>
        <xdr:cNvPr id="103" name="ID_59927D59A46344F681DB599AA12BEA09"/>
        <xdr:cNvPicPr>
          <a:picLocks noChangeAspect="1"/>
        </xdr:cNvPicPr>
      </xdr:nvPicPr>
      <xdr:blipFill>
        <a:blip r:embed="rId158"/>
        <a:stretch>
          <a:fillRect/>
        </a:stretch>
      </xdr:blipFill>
      <xdr:spPr>
        <a:xfrm>
          <a:off x="7369175" y="16333470"/>
          <a:ext cx="900430" cy="693420"/>
        </a:xfrm>
        <a:prstGeom prst="rect">
          <a:avLst/>
        </a:prstGeom>
        <a:noFill/>
        <a:ln w="9525">
          <a:noFill/>
        </a:ln>
      </xdr:spPr>
    </xdr:pic>
  </etc:cellImage>
  <etc:cellImage>
    <xdr:pic>
      <xdr:nvPicPr>
        <xdr:cNvPr id="123" name="ID_C9185C9397ED45AD9E504E7FECBABC6C" descr="IMG_9253"/>
        <xdr:cNvPicPr>
          <a:picLocks noChangeAspect="1"/>
        </xdr:cNvPicPr>
      </xdr:nvPicPr>
      <xdr:blipFill>
        <a:blip r:embed="rId159"/>
        <a:stretch>
          <a:fillRect/>
        </a:stretch>
      </xdr:blipFill>
      <xdr:spPr>
        <a:xfrm>
          <a:off x="7312025" y="1944370"/>
          <a:ext cx="1325245" cy="603885"/>
        </a:xfrm>
        <a:prstGeom prst="rect">
          <a:avLst/>
        </a:prstGeom>
      </xdr:spPr>
    </xdr:pic>
  </etc:cellImage>
  <etc:cellImage>
    <xdr:pic>
      <xdr:nvPicPr>
        <xdr:cNvPr id="74" name="ID_2F7F00C227824157BD59FC0A097B5EC9"/>
        <xdr:cNvPicPr>
          <a:picLocks noChangeAspect="1"/>
        </xdr:cNvPicPr>
      </xdr:nvPicPr>
      <xdr:blipFill>
        <a:blip r:embed="rId160"/>
        <a:stretch>
          <a:fillRect/>
        </a:stretch>
      </xdr:blipFill>
      <xdr:spPr>
        <a:xfrm>
          <a:off x="7510145" y="31593155"/>
          <a:ext cx="659130" cy="685800"/>
        </a:xfrm>
        <a:prstGeom prst="rect">
          <a:avLst/>
        </a:prstGeom>
        <a:noFill/>
        <a:ln w="9525">
          <a:noFill/>
        </a:ln>
      </xdr:spPr>
    </xdr:pic>
  </etc:cellImage>
  <etc:cellImage>
    <xdr:pic>
      <xdr:nvPicPr>
        <xdr:cNvPr id="75" name="ID_9F6F09A2686B4485B94F86B8341C5408" descr="截屏2023-05-24 22.42.30"/>
        <xdr:cNvPicPr>
          <a:picLocks noChangeAspect="1"/>
        </xdr:cNvPicPr>
      </xdr:nvPicPr>
      <xdr:blipFill>
        <a:blip r:embed="rId161"/>
        <a:stretch>
          <a:fillRect/>
        </a:stretch>
      </xdr:blipFill>
      <xdr:spPr>
        <a:xfrm>
          <a:off x="7460615" y="23202265"/>
          <a:ext cx="666750" cy="642620"/>
        </a:xfrm>
        <a:prstGeom prst="rect">
          <a:avLst/>
        </a:prstGeom>
      </xdr:spPr>
    </xdr:pic>
  </etc:cellImage>
  <etc:cellImage>
    <xdr:pic>
      <xdr:nvPicPr>
        <xdr:cNvPr id="76" name="ID_009F7039272C481682DE61BD74E4F457"/>
        <xdr:cNvPicPr>
          <a:picLocks noChangeAspect="1"/>
        </xdr:cNvPicPr>
      </xdr:nvPicPr>
      <xdr:blipFill>
        <a:blip r:embed="rId162"/>
        <a:stretch>
          <a:fillRect/>
        </a:stretch>
      </xdr:blipFill>
      <xdr:spPr>
        <a:xfrm>
          <a:off x="7602220" y="3446145"/>
          <a:ext cx="725170" cy="539750"/>
        </a:xfrm>
        <a:prstGeom prst="rect">
          <a:avLst/>
        </a:prstGeom>
        <a:noFill/>
        <a:ln w="9525">
          <a:noFill/>
        </a:ln>
      </xdr:spPr>
    </xdr:pic>
  </etc:cellImage>
  <etc:cellImage>
    <xdr:pic>
      <xdr:nvPicPr>
        <xdr:cNvPr id="77" name="ID_BAD0BF76A4B44B9A93616C390EBC2708"/>
        <xdr:cNvPicPr>
          <a:picLocks noChangeAspect="1"/>
        </xdr:cNvPicPr>
      </xdr:nvPicPr>
      <xdr:blipFill>
        <a:blip r:embed="rId163"/>
        <a:stretch>
          <a:fillRect/>
        </a:stretch>
      </xdr:blipFill>
      <xdr:spPr>
        <a:xfrm>
          <a:off x="7539355" y="2590800"/>
          <a:ext cx="694055" cy="733425"/>
        </a:xfrm>
        <a:prstGeom prst="rect">
          <a:avLst/>
        </a:prstGeom>
        <a:noFill/>
        <a:ln w="9525">
          <a:noFill/>
        </a:ln>
      </xdr:spPr>
    </xdr:pic>
  </etc:cellImage>
  <etc:cellImage>
    <xdr:pic>
      <xdr:nvPicPr>
        <xdr:cNvPr id="79" name="ID_360B2C4A340F44AE905ED7C695B289B2"/>
        <xdr:cNvPicPr>
          <a:picLocks noChangeAspect="1"/>
        </xdr:cNvPicPr>
      </xdr:nvPicPr>
      <xdr:blipFill>
        <a:blip r:embed="rId164"/>
        <a:stretch>
          <a:fillRect/>
        </a:stretch>
      </xdr:blipFill>
      <xdr:spPr>
        <a:xfrm>
          <a:off x="7539990" y="4132580"/>
          <a:ext cx="457835" cy="673100"/>
        </a:xfrm>
        <a:prstGeom prst="rect">
          <a:avLst/>
        </a:prstGeom>
        <a:noFill/>
        <a:ln w="9525">
          <a:noFill/>
        </a:ln>
      </xdr:spPr>
    </xdr:pic>
  </etc:cellImage>
  <etc:cellImage>
    <xdr:pic>
      <xdr:nvPicPr>
        <xdr:cNvPr id="142" name="ID_4DCA01FEE1414814968ED30FC18FF63D"/>
        <xdr:cNvPicPr>
          <a:picLocks noChangeAspect="1"/>
        </xdr:cNvPicPr>
      </xdr:nvPicPr>
      <xdr:blipFill>
        <a:blip r:embed="rId165"/>
        <a:stretch>
          <a:fillRect/>
        </a:stretch>
      </xdr:blipFill>
      <xdr:spPr>
        <a:xfrm>
          <a:off x="7403465" y="47604045"/>
          <a:ext cx="698500" cy="727710"/>
        </a:xfrm>
        <a:prstGeom prst="rect">
          <a:avLst/>
        </a:prstGeom>
        <a:noFill/>
        <a:ln w="9525">
          <a:noFill/>
        </a:ln>
      </xdr:spPr>
    </xdr:pic>
  </etc:cellImage>
  <etc:cellImage>
    <xdr:pic>
      <xdr:nvPicPr>
        <xdr:cNvPr id="80" name="ID_7F3126D3700949FF9224C4C2C923DCAF"/>
        <xdr:cNvPicPr>
          <a:picLocks noChangeAspect="1"/>
        </xdr:cNvPicPr>
      </xdr:nvPicPr>
      <xdr:blipFill>
        <a:blip r:embed="rId166"/>
        <a:stretch>
          <a:fillRect/>
        </a:stretch>
      </xdr:blipFill>
      <xdr:spPr>
        <a:xfrm>
          <a:off x="7471410" y="18674715"/>
          <a:ext cx="762635" cy="602615"/>
        </a:xfrm>
        <a:prstGeom prst="rect">
          <a:avLst/>
        </a:prstGeom>
        <a:noFill/>
        <a:ln w="9525">
          <a:noFill/>
        </a:ln>
      </xdr:spPr>
    </xdr:pic>
  </etc:cellImage>
  <etc:cellImage>
    <xdr:pic>
      <xdr:nvPicPr>
        <xdr:cNvPr id="82" name="ID_B4DCC4D3900D4CE58D512165A08886A8"/>
        <xdr:cNvPicPr>
          <a:picLocks noChangeAspect="1"/>
        </xdr:cNvPicPr>
      </xdr:nvPicPr>
      <xdr:blipFill>
        <a:blip r:embed="rId167"/>
        <a:stretch>
          <a:fillRect/>
        </a:stretch>
      </xdr:blipFill>
      <xdr:spPr>
        <a:xfrm>
          <a:off x="7440295" y="6400800"/>
          <a:ext cx="942975" cy="683260"/>
        </a:xfrm>
        <a:prstGeom prst="rect">
          <a:avLst/>
        </a:prstGeom>
        <a:noFill/>
        <a:ln w="9525">
          <a:noFill/>
        </a:ln>
      </xdr:spPr>
    </xdr:pic>
  </etc:cellImage>
  <etc:cellImage>
    <xdr:pic>
      <xdr:nvPicPr>
        <xdr:cNvPr id="83" name="ID_8C8AAD571DD144F7B9EA31071FA14790"/>
        <xdr:cNvPicPr>
          <a:picLocks noChangeAspect="1"/>
        </xdr:cNvPicPr>
      </xdr:nvPicPr>
      <xdr:blipFill>
        <a:blip r:embed="rId168"/>
        <a:stretch>
          <a:fillRect/>
        </a:stretch>
      </xdr:blipFill>
      <xdr:spPr>
        <a:xfrm>
          <a:off x="7550150" y="7169150"/>
          <a:ext cx="781685" cy="702945"/>
        </a:xfrm>
        <a:prstGeom prst="rect">
          <a:avLst/>
        </a:prstGeom>
        <a:noFill/>
        <a:ln w="9525">
          <a:noFill/>
        </a:ln>
      </xdr:spPr>
    </xdr:pic>
  </etc:cellImage>
  <etc:cellImage>
    <xdr:pic>
      <xdr:nvPicPr>
        <xdr:cNvPr id="120" name="ID_1621380F6FE94AFA985563B5EE33F5BC" descr="IMG_9243.JPG"/>
        <xdr:cNvPicPr>
          <a:picLocks noChangeAspect="1"/>
        </xdr:cNvPicPr>
      </xdr:nvPicPr>
      <xdr:blipFill>
        <a:blip r:embed="rId169"/>
        <a:stretch>
          <a:fillRect/>
        </a:stretch>
      </xdr:blipFill>
      <xdr:spPr>
        <a:xfrm>
          <a:off x="7489825" y="25497790"/>
          <a:ext cx="670560" cy="671830"/>
        </a:xfrm>
        <a:prstGeom prst="rect">
          <a:avLst/>
        </a:prstGeom>
      </xdr:spPr>
    </xdr:pic>
  </etc:cellImage>
  <etc:cellImage>
    <xdr:pic>
      <xdr:nvPicPr>
        <xdr:cNvPr id="84" name="ID_89C9581F4A0748CAAE02ECEE5B7002B7"/>
        <xdr:cNvPicPr>
          <a:picLocks noChangeAspect="1"/>
        </xdr:cNvPicPr>
      </xdr:nvPicPr>
      <xdr:blipFill>
        <a:blip r:embed="rId170"/>
        <a:stretch>
          <a:fillRect/>
        </a:stretch>
      </xdr:blipFill>
      <xdr:spPr>
        <a:xfrm>
          <a:off x="7499985" y="55276115"/>
          <a:ext cx="624840" cy="654050"/>
        </a:xfrm>
        <a:prstGeom prst="rect">
          <a:avLst/>
        </a:prstGeom>
        <a:noFill/>
        <a:ln w="9525">
          <a:noFill/>
        </a:ln>
      </xdr:spPr>
    </xdr:pic>
  </etc:cellImage>
  <etc:cellImage>
    <xdr:pic>
      <xdr:nvPicPr>
        <xdr:cNvPr id="85" name="ID_D8D0E33B3E974BB79B369FD2CF9F48CC"/>
        <xdr:cNvPicPr>
          <a:picLocks noChangeAspect="1"/>
        </xdr:cNvPicPr>
      </xdr:nvPicPr>
      <xdr:blipFill>
        <a:blip r:embed="rId171"/>
        <a:stretch>
          <a:fillRect/>
        </a:stretch>
      </xdr:blipFill>
      <xdr:spPr>
        <a:xfrm>
          <a:off x="7569200" y="7951470"/>
          <a:ext cx="748665" cy="650875"/>
        </a:xfrm>
        <a:prstGeom prst="rect">
          <a:avLst/>
        </a:prstGeom>
        <a:noFill/>
        <a:ln w="9525">
          <a:noFill/>
        </a:ln>
      </xdr:spPr>
    </xdr:pic>
  </etc:cellImage>
  <etc:cellImage>
    <xdr:pic>
      <xdr:nvPicPr>
        <xdr:cNvPr id="144" name="ID_94D48C3C425A4AACB0A7EFA6AF18EF83"/>
        <xdr:cNvPicPr>
          <a:picLocks noChangeAspect="1"/>
        </xdr:cNvPicPr>
      </xdr:nvPicPr>
      <xdr:blipFill>
        <a:blip r:embed="rId172"/>
        <a:stretch>
          <a:fillRect/>
        </a:stretch>
      </xdr:blipFill>
      <xdr:spPr>
        <a:xfrm>
          <a:off x="7311390" y="48381920"/>
          <a:ext cx="807720" cy="641985"/>
        </a:xfrm>
        <a:prstGeom prst="rect">
          <a:avLst/>
        </a:prstGeom>
        <a:noFill/>
        <a:ln w="9525">
          <a:noFill/>
        </a:ln>
      </xdr:spPr>
    </xdr:pic>
  </etc:cellImage>
  <etc:cellImage>
    <xdr:pic>
      <xdr:nvPicPr>
        <xdr:cNvPr id="98" name="ID_33A2A23CCA254EA0AA8FE8A1DEE3CA23"/>
        <xdr:cNvPicPr>
          <a:picLocks noChangeAspect="1"/>
        </xdr:cNvPicPr>
      </xdr:nvPicPr>
      <xdr:blipFill>
        <a:blip r:embed="rId173"/>
        <a:stretch>
          <a:fillRect/>
        </a:stretch>
      </xdr:blipFill>
      <xdr:spPr>
        <a:xfrm>
          <a:off x="7525385" y="8763000"/>
          <a:ext cx="626110" cy="654050"/>
        </a:xfrm>
        <a:prstGeom prst="rect">
          <a:avLst/>
        </a:prstGeom>
        <a:noFill/>
        <a:ln w="9525">
          <a:noFill/>
        </a:ln>
      </xdr:spPr>
    </xdr:pic>
  </etc:cellImage>
  <etc:cellImage>
    <xdr:pic>
      <xdr:nvPicPr>
        <xdr:cNvPr id="106" name="ID_93FF9BC5AA764E14B774AD794CA04FD8"/>
        <xdr:cNvPicPr>
          <a:picLocks noChangeAspect="1"/>
        </xdr:cNvPicPr>
      </xdr:nvPicPr>
      <xdr:blipFill>
        <a:blip r:embed="rId174"/>
        <a:stretch>
          <a:fillRect/>
        </a:stretch>
      </xdr:blipFill>
      <xdr:spPr>
        <a:xfrm>
          <a:off x="7420610" y="9495155"/>
          <a:ext cx="667385" cy="665480"/>
        </a:xfrm>
        <a:prstGeom prst="rect">
          <a:avLst/>
        </a:prstGeom>
        <a:noFill/>
        <a:ln w="9525">
          <a:noFill/>
        </a:ln>
      </xdr:spPr>
    </xdr:pic>
  </etc:cellImage>
  <etc:cellImage>
    <xdr:pic>
      <xdr:nvPicPr>
        <xdr:cNvPr id="87" name="ID_B1EC1C2A4C44465390582B6E48787780"/>
        <xdr:cNvPicPr>
          <a:picLocks noChangeAspect="1"/>
        </xdr:cNvPicPr>
      </xdr:nvPicPr>
      <xdr:blipFill>
        <a:blip r:embed="rId175"/>
        <a:stretch>
          <a:fillRect/>
        </a:stretch>
      </xdr:blipFill>
      <xdr:spPr>
        <a:xfrm>
          <a:off x="7480300" y="11752580"/>
          <a:ext cx="657860" cy="661670"/>
        </a:xfrm>
        <a:prstGeom prst="rect">
          <a:avLst/>
        </a:prstGeom>
        <a:noFill/>
        <a:ln w="9525">
          <a:noFill/>
        </a:ln>
      </xdr:spPr>
    </xdr:pic>
  </etc:cellImage>
  <etc:cellImage>
    <xdr:pic>
      <xdr:nvPicPr>
        <xdr:cNvPr id="89" name="ID_8412E150EED74CD9894B99ADF740CFC8"/>
        <xdr:cNvPicPr>
          <a:picLocks noChangeAspect="1"/>
        </xdr:cNvPicPr>
      </xdr:nvPicPr>
      <xdr:blipFill>
        <a:blip r:embed="rId176"/>
        <a:stretch>
          <a:fillRect/>
        </a:stretch>
      </xdr:blipFill>
      <xdr:spPr>
        <a:xfrm>
          <a:off x="7504430" y="62114430"/>
          <a:ext cx="748665" cy="561975"/>
        </a:xfrm>
        <a:prstGeom prst="rect">
          <a:avLst/>
        </a:prstGeom>
        <a:noFill/>
        <a:ln w="9525">
          <a:noFill/>
        </a:ln>
      </xdr:spPr>
    </xdr:pic>
  </etc:cellImage>
  <etc:cellImage>
    <xdr:pic>
      <xdr:nvPicPr>
        <xdr:cNvPr id="90" name="ID_BE1102361C1142F5AC1A64402D6F60DB"/>
        <xdr:cNvPicPr>
          <a:picLocks noChangeAspect="1"/>
        </xdr:cNvPicPr>
      </xdr:nvPicPr>
      <xdr:blipFill>
        <a:blip r:embed="rId177"/>
        <a:stretch>
          <a:fillRect/>
        </a:stretch>
      </xdr:blipFill>
      <xdr:spPr>
        <a:xfrm>
          <a:off x="7519670" y="10989310"/>
          <a:ext cx="614680" cy="624840"/>
        </a:xfrm>
        <a:prstGeom prst="rect">
          <a:avLst/>
        </a:prstGeom>
        <a:noFill/>
        <a:ln w="9525">
          <a:noFill/>
        </a:ln>
      </xdr:spPr>
    </xdr:pic>
  </etc:cellImage>
  <etc:cellImage>
    <xdr:pic>
      <xdr:nvPicPr>
        <xdr:cNvPr id="99" name="ID_77F77C4A187E493CB01D4FA74F2286B4"/>
        <xdr:cNvPicPr>
          <a:picLocks noChangeAspect="1"/>
        </xdr:cNvPicPr>
      </xdr:nvPicPr>
      <xdr:blipFill>
        <a:blip r:embed="rId178"/>
        <a:stretch>
          <a:fillRect/>
        </a:stretch>
      </xdr:blipFill>
      <xdr:spPr>
        <a:xfrm>
          <a:off x="7569835" y="12523470"/>
          <a:ext cx="487680" cy="640715"/>
        </a:xfrm>
        <a:prstGeom prst="rect">
          <a:avLst/>
        </a:prstGeom>
        <a:noFill/>
        <a:ln w="9525">
          <a:noFill/>
        </a:ln>
      </xdr:spPr>
    </xdr:pic>
  </etc:cellImage>
  <etc:cellImage>
    <xdr:pic>
      <xdr:nvPicPr>
        <xdr:cNvPr id="91" name="ID_C83EEC4AB614417B97AAD9173B3159AC"/>
        <xdr:cNvPicPr>
          <a:picLocks noChangeAspect="1"/>
        </xdr:cNvPicPr>
      </xdr:nvPicPr>
      <xdr:blipFill>
        <a:blip r:embed="rId179"/>
        <a:stretch>
          <a:fillRect/>
        </a:stretch>
      </xdr:blipFill>
      <xdr:spPr>
        <a:xfrm>
          <a:off x="7480300" y="14078585"/>
          <a:ext cx="676275" cy="668655"/>
        </a:xfrm>
        <a:prstGeom prst="rect">
          <a:avLst/>
        </a:prstGeom>
        <a:noFill/>
        <a:ln w="9525">
          <a:noFill/>
        </a:ln>
      </xdr:spPr>
    </xdr:pic>
  </etc:cellImage>
  <etc:cellImage>
    <xdr:pic>
      <xdr:nvPicPr>
        <xdr:cNvPr id="115" name="ID_7CA9100BC1224856A163114611C4B220"/>
        <xdr:cNvPicPr>
          <a:picLocks noChangeAspect="1"/>
        </xdr:cNvPicPr>
      </xdr:nvPicPr>
      <xdr:blipFill>
        <a:blip r:embed="rId180"/>
        <a:stretch>
          <a:fillRect/>
        </a:stretch>
      </xdr:blipFill>
      <xdr:spPr>
        <a:xfrm>
          <a:off x="7390765" y="22402800"/>
          <a:ext cx="742950" cy="745490"/>
        </a:xfrm>
        <a:prstGeom prst="rect">
          <a:avLst/>
        </a:prstGeom>
        <a:noFill/>
        <a:ln w="9525">
          <a:noFill/>
        </a:ln>
      </xdr:spPr>
    </xdr:pic>
  </etc:cellImage>
  <etc:cellImage>
    <xdr:pic>
      <xdr:nvPicPr>
        <xdr:cNvPr id="101" name="ID_2480F1E253A343B7BF58F2E9979D7B44"/>
        <xdr:cNvPicPr>
          <a:picLocks noChangeAspect="1"/>
        </xdr:cNvPicPr>
      </xdr:nvPicPr>
      <xdr:blipFill>
        <a:blip r:embed="rId181"/>
        <a:stretch>
          <a:fillRect/>
        </a:stretch>
      </xdr:blipFill>
      <xdr:spPr>
        <a:xfrm>
          <a:off x="7451090" y="14819630"/>
          <a:ext cx="640080" cy="644525"/>
        </a:xfrm>
        <a:prstGeom prst="rect">
          <a:avLst/>
        </a:prstGeom>
        <a:noFill/>
        <a:ln w="9525">
          <a:noFill/>
        </a:ln>
      </xdr:spPr>
    </xdr:pic>
  </etc:cellImage>
  <etc:cellImage>
    <xdr:pic>
      <xdr:nvPicPr>
        <xdr:cNvPr id="102" name="ID_5DB868EF24964E4185BF024A17418003"/>
        <xdr:cNvPicPr>
          <a:picLocks noChangeAspect="1"/>
        </xdr:cNvPicPr>
      </xdr:nvPicPr>
      <xdr:blipFill>
        <a:blip r:embed="rId182"/>
        <a:stretch>
          <a:fillRect/>
        </a:stretch>
      </xdr:blipFill>
      <xdr:spPr>
        <a:xfrm>
          <a:off x="7512050" y="15665450"/>
          <a:ext cx="744220" cy="497840"/>
        </a:xfrm>
        <a:prstGeom prst="rect">
          <a:avLst/>
        </a:prstGeom>
        <a:noFill/>
        <a:ln w="9525">
          <a:noFill/>
        </a:ln>
      </xdr:spPr>
    </xdr:pic>
  </etc:cellImage>
  <etc:cellImage>
    <xdr:pic>
      <xdr:nvPicPr>
        <xdr:cNvPr id="92" name="ID_3D53ED998F7746689AE5044C28086F36"/>
        <xdr:cNvPicPr>
          <a:picLocks noChangeAspect="1"/>
        </xdr:cNvPicPr>
      </xdr:nvPicPr>
      <xdr:blipFill>
        <a:blip r:embed="rId183"/>
        <a:stretch>
          <a:fillRect/>
        </a:stretch>
      </xdr:blipFill>
      <xdr:spPr>
        <a:xfrm>
          <a:off x="7658735" y="39946580"/>
          <a:ext cx="527050" cy="702945"/>
        </a:xfrm>
        <a:prstGeom prst="rect">
          <a:avLst/>
        </a:prstGeom>
        <a:noFill/>
        <a:ln w="9525">
          <a:noFill/>
        </a:ln>
      </xdr:spPr>
    </xdr:pic>
  </etc:cellImage>
  <etc:cellImage>
    <xdr:pic>
      <xdr:nvPicPr>
        <xdr:cNvPr id="93" name="ID_33735710D3534BFFB5D6320BB8F29EC9"/>
        <xdr:cNvPicPr>
          <a:picLocks noChangeAspect="1"/>
        </xdr:cNvPicPr>
      </xdr:nvPicPr>
      <xdr:blipFill>
        <a:blip r:embed="rId184"/>
        <a:stretch>
          <a:fillRect/>
        </a:stretch>
      </xdr:blipFill>
      <xdr:spPr>
        <a:xfrm>
          <a:off x="7663180" y="19439255"/>
          <a:ext cx="743585" cy="555625"/>
        </a:xfrm>
        <a:prstGeom prst="rect">
          <a:avLst/>
        </a:prstGeom>
        <a:noFill/>
        <a:ln w="9525">
          <a:noFill/>
        </a:ln>
      </xdr:spPr>
    </xdr:pic>
  </etc:cellImage>
  <etc:cellImage>
    <xdr:pic>
      <xdr:nvPicPr>
        <xdr:cNvPr id="94" name="ID_FC9093CD60534B748BC61EBBC71AFF86"/>
        <xdr:cNvPicPr>
          <a:picLocks noChangeAspect="1" noChangeArrowheads="1"/>
        </xdr:cNvPicPr>
      </xdr:nvPicPr>
      <xdr:blipFill>
        <a:blip r:embed="rId185"/>
        <a:srcRect/>
        <a:stretch>
          <a:fillRect/>
        </a:stretch>
      </xdr:blipFill>
      <xdr:spPr>
        <a:xfrm>
          <a:off x="7400290" y="17110075"/>
          <a:ext cx="963930" cy="603885"/>
        </a:xfrm>
        <a:prstGeom prst="rect">
          <a:avLst/>
        </a:prstGeom>
        <a:noFill/>
        <a:ln w="1">
          <a:noFill/>
          <a:miter lim="800000"/>
          <a:headEnd/>
          <a:tailEnd type="none" w="med" len="med"/>
        </a:ln>
        <a:effectLst/>
      </xdr:spPr>
    </xdr:pic>
  </etc:cellImage>
  <etc:cellImage>
    <xdr:pic>
      <xdr:nvPicPr>
        <xdr:cNvPr id="95" name="ID_141BCBB9DF8B40788B03D63706377D51"/>
        <xdr:cNvPicPr>
          <a:picLocks noChangeAspect="1"/>
        </xdr:cNvPicPr>
      </xdr:nvPicPr>
      <xdr:blipFill>
        <a:blip r:embed="rId186"/>
        <a:stretch>
          <a:fillRect/>
        </a:stretch>
      </xdr:blipFill>
      <xdr:spPr>
        <a:xfrm>
          <a:off x="7272020" y="49072800"/>
          <a:ext cx="737870" cy="725170"/>
        </a:xfrm>
        <a:prstGeom prst="rect">
          <a:avLst/>
        </a:prstGeom>
        <a:noFill/>
        <a:ln w="9525">
          <a:noFill/>
        </a:ln>
      </xdr:spPr>
    </xdr:pic>
  </etc:cellImage>
  <etc:cellImage>
    <xdr:pic>
      <xdr:nvPicPr>
        <xdr:cNvPr id="100" name="ID_C8C72D6BEE654893AB240FD3D6D7D03B"/>
        <xdr:cNvPicPr>
          <a:picLocks noChangeAspect="1"/>
        </xdr:cNvPicPr>
      </xdr:nvPicPr>
      <xdr:blipFill>
        <a:blip r:embed="rId187"/>
        <a:stretch>
          <a:fillRect/>
        </a:stretch>
      </xdr:blipFill>
      <xdr:spPr>
        <a:xfrm>
          <a:off x="7539990" y="17875885"/>
          <a:ext cx="692150" cy="688340"/>
        </a:xfrm>
        <a:prstGeom prst="rect">
          <a:avLst/>
        </a:prstGeom>
        <a:noFill/>
        <a:ln w="9525">
          <a:noFill/>
        </a:ln>
      </xdr:spPr>
    </xdr:pic>
  </etc:cellImage>
  <etc:cellImage>
    <xdr:pic>
      <xdr:nvPicPr>
        <xdr:cNvPr id="147" name="ID_9EE13DC1BFF4461DAADEAEA650EBE1DF"/>
        <xdr:cNvPicPr>
          <a:picLocks noChangeAspect="1"/>
        </xdr:cNvPicPr>
      </xdr:nvPicPr>
      <xdr:blipFill>
        <a:blip r:embed="rId188"/>
        <a:stretch>
          <a:fillRect/>
        </a:stretch>
      </xdr:blipFill>
      <xdr:spPr>
        <a:xfrm>
          <a:off x="7559040" y="36172775"/>
          <a:ext cx="718820" cy="737870"/>
        </a:xfrm>
        <a:prstGeom prst="rect">
          <a:avLst/>
        </a:prstGeom>
        <a:noFill/>
        <a:ln w="9525">
          <a:noFill/>
        </a:ln>
      </xdr:spPr>
    </xdr:pic>
  </etc:cellImage>
  <etc:cellImage>
    <xdr:pic>
      <xdr:nvPicPr>
        <xdr:cNvPr id="104" name="ID_71D7BAE7928A461B956B51E727CE73C8"/>
        <xdr:cNvPicPr>
          <a:picLocks noChangeAspect="1"/>
        </xdr:cNvPicPr>
      </xdr:nvPicPr>
      <xdr:blipFill>
        <a:blip r:embed="rId189"/>
        <a:stretch>
          <a:fillRect/>
        </a:stretch>
      </xdr:blipFill>
      <xdr:spPr>
        <a:xfrm>
          <a:off x="7212965" y="20116800"/>
          <a:ext cx="882650" cy="746760"/>
        </a:xfrm>
        <a:prstGeom prst="rect">
          <a:avLst/>
        </a:prstGeom>
        <a:noFill/>
        <a:ln w="9525">
          <a:noFill/>
        </a:ln>
      </xdr:spPr>
    </xdr:pic>
  </etc:cellImage>
  <etc:cellImage>
    <xdr:pic>
      <xdr:nvPicPr>
        <xdr:cNvPr id="110" name="ID_DB853B285258411EB904096D77CACC73"/>
        <xdr:cNvPicPr>
          <a:picLocks noChangeAspect="1"/>
        </xdr:cNvPicPr>
      </xdr:nvPicPr>
      <xdr:blipFill>
        <a:blip r:embed="rId190"/>
        <a:stretch>
          <a:fillRect/>
        </a:stretch>
      </xdr:blipFill>
      <xdr:spPr>
        <a:xfrm>
          <a:off x="7493000" y="59782710"/>
          <a:ext cx="706755" cy="754380"/>
        </a:xfrm>
        <a:prstGeom prst="rect">
          <a:avLst/>
        </a:prstGeom>
        <a:noFill/>
        <a:ln w="9525">
          <a:noFill/>
        </a:ln>
      </xdr:spPr>
    </xdr:pic>
  </etc:cellImage>
  <etc:cellImage>
    <xdr:pic>
      <xdr:nvPicPr>
        <xdr:cNvPr id="113" name="ID_378F2A3E4DAD48E49DA823C09FECEA09"/>
        <xdr:cNvPicPr>
          <a:picLocks noChangeAspect="1"/>
        </xdr:cNvPicPr>
      </xdr:nvPicPr>
      <xdr:blipFill>
        <a:blip r:embed="rId191"/>
        <a:stretch>
          <a:fillRect/>
        </a:stretch>
      </xdr:blipFill>
      <xdr:spPr>
        <a:xfrm>
          <a:off x="7639050" y="45399325"/>
          <a:ext cx="324485" cy="694690"/>
        </a:xfrm>
        <a:prstGeom prst="rect">
          <a:avLst/>
        </a:prstGeom>
        <a:noFill/>
        <a:ln w="9525">
          <a:noFill/>
        </a:ln>
      </xdr:spPr>
    </xdr:pic>
  </etc:cellImage>
  <etc:cellImage>
    <xdr:pic>
      <xdr:nvPicPr>
        <xdr:cNvPr id="136" name="ID_B2AFE28D54574C0AAD8DA683B1C914F3"/>
        <xdr:cNvPicPr>
          <a:picLocks noChangeAspect="1"/>
        </xdr:cNvPicPr>
      </xdr:nvPicPr>
      <xdr:blipFill>
        <a:blip r:embed="rId192"/>
        <a:stretch>
          <a:fillRect/>
        </a:stretch>
      </xdr:blipFill>
      <xdr:spPr>
        <a:xfrm>
          <a:off x="7490460" y="43765470"/>
          <a:ext cx="620395" cy="781050"/>
        </a:xfrm>
        <a:prstGeom prst="rect">
          <a:avLst/>
        </a:prstGeom>
        <a:noFill/>
        <a:ln w="9525">
          <a:noFill/>
        </a:ln>
      </xdr:spPr>
    </xdr:pic>
  </etc:cellImage>
  <etc:cellImage>
    <xdr:pic>
      <xdr:nvPicPr>
        <xdr:cNvPr id="116" name="ID_89A08CD77A9442BDB4D9C209056E0B57"/>
        <xdr:cNvPicPr>
          <a:picLocks noChangeAspect="1"/>
        </xdr:cNvPicPr>
      </xdr:nvPicPr>
      <xdr:blipFill>
        <a:blip r:embed="rId193"/>
        <a:stretch>
          <a:fillRect/>
        </a:stretch>
      </xdr:blipFill>
      <xdr:spPr>
        <a:xfrm>
          <a:off x="7430770" y="20896580"/>
          <a:ext cx="744220" cy="768985"/>
        </a:xfrm>
        <a:prstGeom prst="rect">
          <a:avLst/>
        </a:prstGeom>
        <a:noFill/>
        <a:ln w="9525">
          <a:noFill/>
        </a:ln>
      </xdr:spPr>
    </xdr:pic>
  </etc:cellImage>
  <etc:cellImage>
    <xdr:pic>
      <xdr:nvPicPr>
        <xdr:cNvPr id="141" name="ID_51E4F6B6AED647778FE5D4690DD187C0"/>
        <xdr:cNvPicPr>
          <a:picLocks noChangeAspect="1"/>
        </xdr:cNvPicPr>
      </xdr:nvPicPr>
      <xdr:blipFill>
        <a:blip r:embed="rId194"/>
        <a:stretch>
          <a:fillRect/>
        </a:stretch>
      </xdr:blipFill>
      <xdr:spPr>
        <a:xfrm>
          <a:off x="7447915" y="46861095"/>
          <a:ext cx="685165" cy="697865"/>
        </a:xfrm>
        <a:prstGeom prst="rect">
          <a:avLst/>
        </a:prstGeom>
        <a:noFill/>
        <a:ln w="9525">
          <a:noFill/>
        </a:ln>
      </xdr:spPr>
    </xdr:pic>
  </etc:cellImage>
  <etc:cellImage>
    <xdr:pic>
      <xdr:nvPicPr>
        <xdr:cNvPr id="121" name="ID_FF8FC1AB78FB430BBEB3B843020E11B1"/>
        <xdr:cNvPicPr>
          <a:picLocks noChangeAspect="1"/>
        </xdr:cNvPicPr>
      </xdr:nvPicPr>
      <xdr:blipFill>
        <a:blip r:embed="rId195"/>
        <a:stretch>
          <a:fillRect/>
        </a:stretch>
      </xdr:blipFill>
      <xdr:spPr>
        <a:xfrm>
          <a:off x="7499985" y="21698585"/>
          <a:ext cx="658495" cy="673100"/>
        </a:xfrm>
        <a:prstGeom prst="rect">
          <a:avLst/>
        </a:prstGeom>
        <a:noFill/>
        <a:ln w="9525">
          <a:noFill/>
        </a:ln>
      </xdr:spPr>
    </xdr:pic>
  </etc:cellImage>
  <etc:cellImage>
    <xdr:pic>
      <xdr:nvPicPr>
        <xdr:cNvPr id="124" name="ID_85E8776DA1C84C84838ADC4D9D23AE58"/>
        <xdr:cNvPicPr>
          <a:picLocks noChangeAspect="1"/>
        </xdr:cNvPicPr>
      </xdr:nvPicPr>
      <xdr:blipFill>
        <a:blip r:embed="rId196"/>
        <a:stretch>
          <a:fillRect/>
        </a:stretch>
      </xdr:blipFill>
      <xdr:spPr>
        <a:xfrm>
          <a:off x="7648575" y="32366585"/>
          <a:ext cx="467360" cy="637540"/>
        </a:xfrm>
        <a:prstGeom prst="rect">
          <a:avLst/>
        </a:prstGeom>
        <a:noFill/>
        <a:ln w="9525">
          <a:noFill/>
        </a:ln>
      </xdr:spPr>
    </xdr:pic>
  </etc:cellImage>
  <etc:cellImage>
    <xdr:pic>
      <xdr:nvPicPr>
        <xdr:cNvPr id="135" name="ID_A3A0E4818DF845F1B2A9024C1005B2CA"/>
        <xdr:cNvPicPr>
          <a:picLocks noChangeAspect="1"/>
        </xdr:cNvPicPr>
      </xdr:nvPicPr>
      <xdr:blipFill>
        <a:blip r:embed="rId197"/>
        <a:stretch>
          <a:fillRect/>
        </a:stretch>
      </xdr:blipFill>
      <xdr:spPr>
        <a:xfrm>
          <a:off x="7459980" y="24725630"/>
          <a:ext cx="692150" cy="669290"/>
        </a:xfrm>
        <a:prstGeom prst="rect">
          <a:avLst/>
        </a:prstGeom>
        <a:noFill/>
        <a:ln w="9525">
          <a:noFill/>
        </a:ln>
      </xdr:spPr>
    </xdr:pic>
  </etc:cellImage>
  <etc:cellImage>
    <xdr:pic>
      <xdr:nvPicPr>
        <xdr:cNvPr id="139" name="ID_400B1BE3D26641B2A0756AFC2357743B"/>
        <xdr:cNvPicPr>
          <a:picLocks noChangeAspect="1" noChangeArrowheads="1"/>
        </xdr:cNvPicPr>
      </xdr:nvPicPr>
      <xdr:blipFill>
        <a:blip r:embed="rId198"/>
        <a:srcRect/>
        <a:stretch>
          <a:fillRect/>
        </a:stretch>
      </xdr:blipFill>
      <xdr:spPr>
        <a:xfrm>
          <a:off x="7435850" y="41474390"/>
          <a:ext cx="962660" cy="669290"/>
        </a:xfrm>
        <a:prstGeom prst="rect">
          <a:avLst/>
        </a:prstGeom>
        <a:noFill/>
        <a:ln w="1">
          <a:noFill/>
          <a:miter lim="800000"/>
          <a:headEnd/>
          <a:tailEnd type="none" w="med" len="med"/>
        </a:ln>
        <a:effectLst/>
      </xdr:spPr>
    </xdr:pic>
  </etc:cellImage>
  <etc:cellImage>
    <xdr:pic>
      <xdr:nvPicPr>
        <xdr:cNvPr id="140" name="ID_182D90484D5149E99E9254AFF246163E" descr="IMG_7461"/>
        <xdr:cNvPicPr>
          <a:picLocks noChangeAspect="1"/>
        </xdr:cNvPicPr>
      </xdr:nvPicPr>
      <xdr:blipFill>
        <a:blip r:embed="rId199"/>
        <a:stretch>
          <a:fillRect/>
        </a:stretch>
      </xdr:blipFill>
      <xdr:spPr>
        <a:xfrm>
          <a:off x="7559675" y="26250265"/>
          <a:ext cx="554355" cy="737870"/>
        </a:xfrm>
        <a:prstGeom prst="rect">
          <a:avLst/>
        </a:prstGeom>
      </xdr:spPr>
    </xdr:pic>
  </etc:cellImage>
  <etc:cellImage>
    <xdr:pic>
      <xdr:nvPicPr>
        <xdr:cNvPr id="148" name="ID_35F1FFDC1D8C4F8CB68A0FBCA704B1C9"/>
        <xdr:cNvPicPr>
          <a:picLocks noChangeAspect="1"/>
        </xdr:cNvPicPr>
      </xdr:nvPicPr>
      <xdr:blipFill>
        <a:blip r:embed="rId200"/>
        <a:stretch>
          <a:fillRect/>
        </a:stretch>
      </xdr:blipFill>
      <xdr:spPr>
        <a:xfrm>
          <a:off x="7647940" y="38510210"/>
          <a:ext cx="579120" cy="737870"/>
        </a:xfrm>
        <a:prstGeom prst="rect">
          <a:avLst/>
        </a:prstGeom>
        <a:noFill/>
        <a:ln w="9525">
          <a:noFill/>
        </a:ln>
      </xdr:spPr>
    </xdr:pic>
  </etc:cellImage>
  <etc:cellImage>
    <xdr:pic>
      <xdr:nvPicPr>
        <xdr:cNvPr id="143" name="ID_CF76A47097BC44748CF5C06765E57F78"/>
        <xdr:cNvPicPr>
          <a:picLocks noChangeAspect="1"/>
        </xdr:cNvPicPr>
      </xdr:nvPicPr>
      <xdr:blipFill>
        <a:blip r:embed="rId201"/>
        <a:stretch>
          <a:fillRect/>
        </a:stretch>
      </xdr:blipFill>
      <xdr:spPr>
        <a:xfrm>
          <a:off x="7639050" y="40737790"/>
          <a:ext cx="532765" cy="675005"/>
        </a:xfrm>
        <a:prstGeom prst="rect">
          <a:avLst/>
        </a:prstGeom>
        <a:noFill/>
        <a:ln w="1">
          <a:noFill/>
        </a:ln>
      </xdr:spPr>
    </xdr:pic>
  </etc:cellImage>
  <etc:cellImage>
    <xdr:pic>
      <xdr:nvPicPr>
        <xdr:cNvPr id="145" name="ID_943CBD44E201486FA4BDAED3554397F2"/>
        <xdr:cNvPicPr/>
      </xdr:nvPicPr>
      <xdr:blipFill>
        <a:blip r:embed="rId202"/>
        <a:stretch>
          <a:fillRect/>
        </a:stretch>
      </xdr:blipFill>
      <xdr:spPr>
        <a:xfrm>
          <a:off x="7480300" y="27087830"/>
          <a:ext cx="976630" cy="561340"/>
        </a:xfrm>
        <a:prstGeom prst="rect">
          <a:avLst/>
        </a:prstGeom>
      </xdr:spPr>
    </xdr:pic>
  </etc:cellImage>
  <etc:cellImage>
    <xdr:pic>
      <xdr:nvPicPr>
        <xdr:cNvPr id="146" name="ID_C6138764112C46BE84951FA7C0C0C970"/>
        <xdr:cNvPicPr/>
      </xdr:nvPicPr>
      <xdr:blipFill>
        <a:blip r:embed="rId203"/>
        <a:stretch>
          <a:fillRect/>
        </a:stretch>
      </xdr:blipFill>
      <xdr:spPr>
        <a:xfrm>
          <a:off x="7539990" y="27753310"/>
          <a:ext cx="762000" cy="697230"/>
        </a:xfrm>
        <a:prstGeom prst="rect">
          <a:avLst/>
        </a:prstGeom>
      </xdr:spPr>
    </xdr:pic>
  </etc:cellImage>
  <etc:cellImage>
    <xdr:pic>
      <xdr:nvPicPr>
        <xdr:cNvPr id="149" name="ID_B423BE2C17D24D08A3A86D6BD6553992"/>
        <xdr:cNvPicPr>
          <a:picLocks noChangeAspect="1"/>
        </xdr:cNvPicPr>
      </xdr:nvPicPr>
      <xdr:blipFill>
        <a:blip r:embed="rId204"/>
        <a:stretch>
          <a:fillRect/>
        </a:stretch>
      </xdr:blipFill>
      <xdr:spPr>
        <a:xfrm>
          <a:off x="7459980" y="28516580"/>
          <a:ext cx="715010" cy="736600"/>
        </a:xfrm>
        <a:prstGeom prst="rect">
          <a:avLst/>
        </a:prstGeom>
        <a:noFill/>
        <a:ln w="9525">
          <a:noFill/>
        </a:ln>
      </xdr:spPr>
    </xdr:pic>
  </etc:cellImage>
  <etc:cellImage>
    <xdr:pic>
      <xdr:nvPicPr>
        <xdr:cNvPr id="150" name="ID_2FA0F5ACE97A40DD8884EFE4954A19C2" descr="IMG_7463"/>
        <xdr:cNvPicPr>
          <a:picLocks noChangeAspect="1"/>
        </xdr:cNvPicPr>
      </xdr:nvPicPr>
      <xdr:blipFill>
        <a:blip r:embed="rId205"/>
        <a:stretch>
          <a:fillRect/>
        </a:stretch>
      </xdr:blipFill>
      <xdr:spPr>
        <a:xfrm>
          <a:off x="7490460" y="29368115"/>
          <a:ext cx="614680" cy="603885"/>
        </a:xfrm>
        <a:prstGeom prst="rect">
          <a:avLst/>
        </a:prstGeom>
      </xdr:spPr>
    </xdr:pic>
  </etc:cellImage>
  <etc:cellImage>
    <xdr:pic>
      <xdr:nvPicPr>
        <xdr:cNvPr id="152" name="ID_4A889E053A0648E4A153F41A5D3E5E7A"/>
        <xdr:cNvPicPr>
          <a:picLocks noChangeAspect="1"/>
        </xdr:cNvPicPr>
      </xdr:nvPicPr>
      <xdr:blipFill>
        <a:blip r:embed="rId206"/>
        <a:stretch>
          <a:fillRect/>
        </a:stretch>
      </xdr:blipFill>
      <xdr:spPr>
        <a:xfrm>
          <a:off x="7579360" y="33138745"/>
          <a:ext cx="660400" cy="666115"/>
        </a:xfrm>
        <a:prstGeom prst="rect">
          <a:avLst/>
        </a:prstGeom>
        <a:noFill/>
        <a:ln w="9525">
          <a:noFill/>
        </a:ln>
      </xdr:spPr>
    </xdr:pic>
  </etc:cellImage>
  <etc:cellImage>
    <xdr:pic>
      <xdr:nvPicPr>
        <xdr:cNvPr id="153" name="ID_D35B03F4D3D44092AFD615579C362AAB"/>
        <xdr:cNvPicPr>
          <a:picLocks noChangeAspect="1"/>
        </xdr:cNvPicPr>
      </xdr:nvPicPr>
      <xdr:blipFill>
        <a:blip r:embed="rId207"/>
        <a:stretch>
          <a:fillRect/>
        </a:stretch>
      </xdr:blipFill>
      <xdr:spPr>
        <a:xfrm>
          <a:off x="7390765" y="33900110"/>
          <a:ext cx="911225" cy="669925"/>
        </a:xfrm>
        <a:prstGeom prst="rect">
          <a:avLst/>
        </a:prstGeom>
      </xdr:spPr>
    </xdr:pic>
  </etc:cellImage>
  <etc:cellImage>
    <xdr:pic>
      <xdr:nvPicPr>
        <xdr:cNvPr id="154" name="ID_313BC3099CC348859D1BDC9604463526" descr="226df58a2ead3db3bb60e0fbfd0c212"/>
        <xdr:cNvPicPr>
          <a:picLocks noChangeAspect="1"/>
        </xdr:cNvPicPr>
      </xdr:nvPicPr>
      <xdr:blipFill>
        <a:blip r:embed="rId208"/>
        <a:srcRect t="9392" b="29150"/>
        <a:stretch>
          <a:fillRect/>
        </a:stretch>
      </xdr:blipFill>
      <xdr:spPr>
        <a:xfrm>
          <a:off x="7397115" y="34649410"/>
          <a:ext cx="1040765" cy="704850"/>
        </a:xfrm>
        <a:prstGeom prst="rect">
          <a:avLst/>
        </a:prstGeom>
        <a:noFill/>
        <a:ln w="9525">
          <a:noFill/>
        </a:ln>
      </xdr:spPr>
    </xdr:pic>
  </etc:cellImage>
  <etc:cellImage>
    <xdr:pic>
      <xdr:nvPicPr>
        <xdr:cNvPr id="155" name="ID_AF96A4E336EC4A78B82C698DECF92E44"/>
        <xdr:cNvPicPr>
          <a:picLocks noChangeAspect="1"/>
        </xdr:cNvPicPr>
      </xdr:nvPicPr>
      <xdr:blipFill>
        <a:blip r:embed="rId209"/>
        <a:stretch>
          <a:fillRect/>
        </a:stretch>
      </xdr:blipFill>
      <xdr:spPr>
        <a:xfrm>
          <a:off x="7654290" y="39221410"/>
          <a:ext cx="634365" cy="730250"/>
        </a:xfrm>
        <a:prstGeom prst="rect">
          <a:avLst/>
        </a:prstGeom>
        <a:noFill/>
        <a:ln w="9525">
          <a:noFill/>
        </a:ln>
      </xdr:spPr>
    </xdr:pic>
  </etc:cellImage>
  <etc:cellImage>
    <xdr:pic>
      <xdr:nvPicPr>
        <xdr:cNvPr id="156" name="ID_7AA304DC5BF341768090A57972298450"/>
        <xdr:cNvPicPr>
          <a:picLocks noChangeAspect="1" noChangeArrowheads="1"/>
        </xdr:cNvPicPr>
      </xdr:nvPicPr>
      <xdr:blipFill>
        <a:blip r:embed="rId210"/>
        <a:srcRect/>
        <a:stretch>
          <a:fillRect/>
        </a:stretch>
      </xdr:blipFill>
      <xdr:spPr>
        <a:xfrm>
          <a:off x="7454900" y="42270680"/>
          <a:ext cx="765810" cy="660400"/>
        </a:xfrm>
        <a:prstGeom prst="rect">
          <a:avLst/>
        </a:prstGeom>
        <a:noFill/>
        <a:ln w="1">
          <a:noFill/>
          <a:miter lim="800000"/>
          <a:headEnd/>
          <a:tailEnd type="none" w="med" len="med"/>
        </a:ln>
        <a:effectLst/>
      </xdr:spPr>
    </xdr:pic>
  </etc:cellImage>
  <etc:cellImage>
    <xdr:pic>
      <xdr:nvPicPr>
        <xdr:cNvPr id="157" name="ID_2C61B8C46D00478B8140E2AE0D190DC1"/>
        <xdr:cNvPicPr>
          <a:picLocks noChangeAspect="1"/>
        </xdr:cNvPicPr>
      </xdr:nvPicPr>
      <xdr:blipFill>
        <a:blip r:embed="rId211"/>
        <a:stretch>
          <a:fillRect/>
        </a:stretch>
      </xdr:blipFill>
      <xdr:spPr>
        <a:xfrm>
          <a:off x="7400925" y="42986325"/>
          <a:ext cx="880745" cy="716280"/>
        </a:xfrm>
        <a:prstGeom prst="rect">
          <a:avLst/>
        </a:prstGeom>
        <a:noFill/>
        <a:ln w="1">
          <a:noFill/>
        </a:ln>
      </xdr:spPr>
    </xdr:pic>
  </etc:cellImage>
  <etc:cellImage>
    <xdr:pic>
      <xdr:nvPicPr>
        <xdr:cNvPr id="158" name="ID_2B0883A9FCA84C8EA9A3A5946BAFAB64"/>
        <xdr:cNvPicPr>
          <a:picLocks noChangeAspect="1"/>
        </xdr:cNvPicPr>
      </xdr:nvPicPr>
      <xdr:blipFill>
        <a:blip r:embed="rId212"/>
        <a:stretch>
          <a:fillRect/>
        </a:stretch>
      </xdr:blipFill>
      <xdr:spPr>
        <a:xfrm>
          <a:off x="7470140" y="44604940"/>
          <a:ext cx="620395" cy="675640"/>
        </a:xfrm>
        <a:prstGeom prst="rect">
          <a:avLst/>
        </a:prstGeom>
        <a:noFill/>
        <a:ln w="9525">
          <a:noFill/>
        </a:ln>
      </xdr:spPr>
    </xdr:pic>
  </etc:cellImage>
  <etc:cellImage>
    <xdr:pic>
      <xdr:nvPicPr>
        <xdr:cNvPr id="159" name="ID_99406B2B46964D3CB01AF2029AF2C577"/>
        <xdr:cNvPicPr>
          <a:picLocks noChangeAspect="1"/>
        </xdr:cNvPicPr>
      </xdr:nvPicPr>
      <xdr:blipFill>
        <a:blip r:embed="rId213"/>
        <a:stretch>
          <a:fillRect/>
        </a:stretch>
      </xdr:blipFill>
      <xdr:spPr>
        <a:xfrm>
          <a:off x="7559675" y="46102270"/>
          <a:ext cx="375920" cy="722630"/>
        </a:xfrm>
        <a:prstGeom prst="rect">
          <a:avLst/>
        </a:prstGeom>
        <a:noFill/>
        <a:ln w="9525">
          <a:noFill/>
        </a:ln>
      </xdr:spPr>
    </xdr:pic>
  </etc:cellImage>
  <etc:cellImage>
    <xdr:pic>
      <xdr:nvPicPr>
        <xdr:cNvPr id="160" name="ID_F4356CEA421F4002845B5E6BBB5C2777"/>
        <xdr:cNvPicPr>
          <a:picLocks noChangeAspect="1"/>
        </xdr:cNvPicPr>
      </xdr:nvPicPr>
      <xdr:blipFill>
        <a:blip r:embed="rId214"/>
        <a:stretch>
          <a:fillRect/>
        </a:stretch>
      </xdr:blipFill>
      <xdr:spPr>
        <a:xfrm>
          <a:off x="7640955" y="50647600"/>
          <a:ext cx="546735" cy="597535"/>
        </a:xfrm>
        <a:prstGeom prst="rect">
          <a:avLst/>
        </a:prstGeom>
        <a:noFill/>
        <a:ln w="9525">
          <a:noFill/>
        </a:ln>
      </xdr:spPr>
    </xdr:pic>
  </etc:cellImage>
  <etc:cellImage>
    <xdr:pic>
      <xdr:nvPicPr>
        <xdr:cNvPr id="161" name="ID_6DA0CF52F64D4689ACCA985557F84D7F"/>
        <xdr:cNvPicPr>
          <a:picLocks noChangeAspect="1"/>
        </xdr:cNvPicPr>
      </xdr:nvPicPr>
      <xdr:blipFill>
        <a:blip r:embed="rId215"/>
        <a:stretch>
          <a:fillRect/>
        </a:stretch>
      </xdr:blipFill>
      <xdr:spPr>
        <a:xfrm>
          <a:off x="7376160" y="51414680"/>
          <a:ext cx="949960" cy="717550"/>
        </a:xfrm>
        <a:prstGeom prst="rect">
          <a:avLst/>
        </a:prstGeom>
        <a:noFill/>
        <a:ln w="9525">
          <a:noFill/>
        </a:ln>
      </xdr:spPr>
    </xdr:pic>
  </etc:cellImage>
  <etc:cellImage>
    <xdr:pic>
      <xdr:nvPicPr>
        <xdr:cNvPr id="162" name="ID_A8135A0BD8DE48108C4EEAF9D0F8636B"/>
        <xdr:cNvPicPr>
          <a:picLocks noChangeAspect="1"/>
        </xdr:cNvPicPr>
      </xdr:nvPicPr>
      <xdr:blipFill>
        <a:blip r:embed="rId216"/>
        <a:stretch>
          <a:fillRect/>
        </a:stretch>
      </xdr:blipFill>
      <xdr:spPr>
        <a:xfrm>
          <a:off x="7619365" y="52163345"/>
          <a:ext cx="451485" cy="726440"/>
        </a:xfrm>
        <a:prstGeom prst="rect">
          <a:avLst/>
        </a:prstGeom>
        <a:noFill/>
        <a:ln w="9525">
          <a:noFill/>
        </a:ln>
      </xdr:spPr>
    </xdr:pic>
  </etc:cellImage>
  <etc:cellImage>
    <xdr:pic>
      <xdr:nvPicPr>
        <xdr:cNvPr id="163" name="ID_7FF3A64735F84C7A86C46F2453CEE7D1"/>
        <xdr:cNvPicPr>
          <a:picLocks noChangeAspect="1"/>
        </xdr:cNvPicPr>
      </xdr:nvPicPr>
      <xdr:blipFill>
        <a:blip r:embed="rId217"/>
        <a:stretch>
          <a:fillRect/>
        </a:stretch>
      </xdr:blipFill>
      <xdr:spPr>
        <a:xfrm>
          <a:off x="7386955" y="52912010"/>
          <a:ext cx="728980" cy="581660"/>
        </a:xfrm>
        <a:prstGeom prst="rect">
          <a:avLst/>
        </a:prstGeom>
        <a:noFill/>
        <a:ln w="9525">
          <a:noFill/>
        </a:ln>
      </xdr:spPr>
    </xdr:pic>
  </etc:cellImage>
  <etc:cellImage>
    <xdr:pic>
      <xdr:nvPicPr>
        <xdr:cNvPr id="164" name="ID_762A790AE49840FC9A5575E5E829593D"/>
        <xdr:cNvPicPr>
          <a:picLocks noChangeAspect="1"/>
        </xdr:cNvPicPr>
      </xdr:nvPicPr>
      <xdr:blipFill>
        <a:blip r:embed="rId218"/>
        <a:stretch>
          <a:fillRect/>
        </a:stretch>
      </xdr:blipFill>
      <xdr:spPr>
        <a:xfrm>
          <a:off x="7440930" y="53664485"/>
          <a:ext cx="709930" cy="737235"/>
        </a:xfrm>
        <a:prstGeom prst="rect">
          <a:avLst/>
        </a:prstGeom>
        <a:noFill/>
        <a:ln w="9525">
          <a:noFill/>
        </a:ln>
      </xdr:spPr>
    </xdr:pic>
  </etc:cellImage>
  <etc:cellImage>
    <xdr:pic>
      <xdr:nvPicPr>
        <xdr:cNvPr id="165" name="ID_4E34917E4DB44628B2A2C341A9FAA31B"/>
        <xdr:cNvPicPr>
          <a:picLocks noChangeAspect="1"/>
        </xdr:cNvPicPr>
      </xdr:nvPicPr>
      <xdr:blipFill>
        <a:blip r:embed="rId219"/>
        <a:stretch>
          <a:fillRect/>
        </a:stretch>
      </xdr:blipFill>
      <xdr:spPr>
        <a:xfrm>
          <a:off x="7346315" y="54582695"/>
          <a:ext cx="899795" cy="413385"/>
        </a:xfrm>
        <a:prstGeom prst="rect">
          <a:avLst/>
        </a:prstGeom>
        <a:noFill/>
        <a:ln w="9525">
          <a:noFill/>
        </a:ln>
      </xdr:spPr>
    </xdr:pic>
  </etc:cellImage>
  <etc:cellImage>
    <xdr:pic>
      <xdr:nvPicPr>
        <xdr:cNvPr id="166" name="ID_9EE628BF329E4D9E9C51B828FAB1E0E1"/>
        <xdr:cNvPicPr>
          <a:picLocks noChangeAspect="1"/>
        </xdr:cNvPicPr>
      </xdr:nvPicPr>
      <xdr:blipFill>
        <a:blip r:embed="rId107"/>
        <a:stretch>
          <a:fillRect/>
        </a:stretch>
      </xdr:blipFill>
      <xdr:spPr>
        <a:xfrm>
          <a:off x="7390765" y="56083835"/>
          <a:ext cx="1014095" cy="419735"/>
        </a:xfrm>
        <a:prstGeom prst="rect">
          <a:avLst/>
        </a:prstGeom>
        <a:noFill/>
        <a:ln w="9525">
          <a:noFill/>
        </a:ln>
      </xdr:spPr>
    </xdr:pic>
  </etc:cellImage>
  <etc:cellImage>
    <xdr:pic>
      <xdr:nvPicPr>
        <xdr:cNvPr id="167" name="ID_41B52AB3A8FB47298C8A2ECEA9E321B1"/>
        <xdr:cNvPicPr>
          <a:picLocks noChangeAspect="1"/>
        </xdr:cNvPicPr>
      </xdr:nvPicPr>
      <xdr:blipFill>
        <a:blip r:embed="rId107"/>
        <a:stretch>
          <a:fillRect/>
        </a:stretch>
      </xdr:blipFill>
      <xdr:spPr>
        <a:xfrm>
          <a:off x="7237095" y="56786780"/>
          <a:ext cx="1014095" cy="419735"/>
        </a:xfrm>
        <a:prstGeom prst="rect">
          <a:avLst/>
        </a:prstGeom>
        <a:noFill/>
        <a:ln w="9525">
          <a:noFill/>
        </a:ln>
      </xdr:spPr>
    </xdr:pic>
  </etc:cellImage>
  <etc:cellImage>
    <xdr:pic>
      <xdr:nvPicPr>
        <xdr:cNvPr id="169" name="ID_222D1E4A9A4543D1AE5FE8EF27FEA7D5"/>
        <xdr:cNvPicPr>
          <a:picLocks noChangeAspect="1"/>
        </xdr:cNvPicPr>
      </xdr:nvPicPr>
      <xdr:blipFill>
        <a:blip r:embed="rId220"/>
        <a:stretch>
          <a:fillRect/>
        </a:stretch>
      </xdr:blipFill>
      <xdr:spPr>
        <a:xfrm>
          <a:off x="7398385" y="58265695"/>
          <a:ext cx="916940" cy="736600"/>
        </a:xfrm>
        <a:prstGeom prst="rect">
          <a:avLst/>
        </a:prstGeom>
        <a:noFill/>
        <a:ln w="9525">
          <a:noFill/>
        </a:ln>
      </xdr:spPr>
    </xdr:pic>
  </etc:cellImage>
  <etc:cellImage>
    <xdr:pic>
      <xdr:nvPicPr>
        <xdr:cNvPr id="170" name="ID_B967A45CA9774AC88E39BFE5727CE630"/>
        <xdr:cNvPicPr>
          <a:picLocks noChangeAspect="1"/>
        </xdr:cNvPicPr>
      </xdr:nvPicPr>
      <xdr:blipFill>
        <a:blip r:embed="rId221"/>
        <a:stretch>
          <a:fillRect/>
        </a:stretch>
      </xdr:blipFill>
      <xdr:spPr>
        <a:xfrm>
          <a:off x="7423150" y="59055635"/>
          <a:ext cx="769620" cy="696595"/>
        </a:xfrm>
        <a:prstGeom prst="rect">
          <a:avLst/>
        </a:prstGeom>
        <a:noFill/>
        <a:ln w="9525">
          <a:noFill/>
        </a:ln>
      </xdr:spPr>
    </xdr:pic>
  </etc:cellImage>
  <etc:cellImage>
    <xdr:pic>
      <xdr:nvPicPr>
        <xdr:cNvPr id="171" name="ID_E8C0FFFE097F4A6EBCB98B95559BD5DE"/>
        <xdr:cNvPicPr>
          <a:picLocks noChangeAspect="1"/>
        </xdr:cNvPicPr>
      </xdr:nvPicPr>
      <xdr:blipFill>
        <a:blip r:embed="rId222"/>
        <a:stretch>
          <a:fillRect/>
        </a:stretch>
      </xdr:blipFill>
      <xdr:spPr>
        <a:xfrm>
          <a:off x="7371080" y="60633610"/>
          <a:ext cx="862330" cy="623570"/>
        </a:xfrm>
        <a:prstGeom prst="rect">
          <a:avLst/>
        </a:prstGeom>
        <a:noFill/>
        <a:ln w="9525">
          <a:noFill/>
        </a:ln>
      </xdr:spPr>
    </xdr:pic>
  </etc:cellImage>
  <etc:cellImage>
    <xdr:pic>
      <xdr:nvPicPr>
        <xdr:cNvPr id="172" name="ID_E5D5BAF3C999421A9D52E5A6D458883C"/>
        <xdr:cNvPicPr>
          <a:picLocks noChangeAspect="1"/>
        </xdr:cNvPicPr>
      </xdr:nvPicPr>
      <xdr:blipFill>
        <a:blip r:embed="rId223"/>
        <a:stretch>
          <a:fillRect/>
        </a:stretch>
      </xdr:blipFill>
      <xdr:spPr>
        <a:xfrm>
          <a:off x="7376795" y="61355605"/>
          <a:ext cx="918210" cy="652780"/>
        </a:xfrm>
        <a:prstGeom prst="rect">
          <a:avLst/>
        </a:prstGeom>
        <a:noFill/>
        <a:ln w="9525">
          <a:noFill/>
        </a:ln>
      </xdr:spPr>
    </xdr:pic>
  </etc:cellImage>
  <etc:cellImage>
    <xdr:pic>
      <xdr:nvPicPr>
        <xdr:cNvPr id="175" name="ID_501503B924934F098A8F025ED77FEDBD"/>
        <xdr:cNvPicPr>
          <a:picLocks noChangeAspect="1"/>
        </xdr:cNvPicPr>
      </xdr:nvPicPr>
      <xdr:blipFill>
        <a:blip r:embed="rId224"/>
        <a:stretch>
          <a:fillRect/>
        </a:stretch>
      </xdr:blipFill>
      <xdr:spPr>
        <a:xfrm>
          <a:off x="7447915" y="65417700"/>
          <a:ext cx="804545" cy="558165"/>
        </a:xfrm>
        <a:prstGeom prst="rect">
          <a:avLst/>
        </a:prstGeom>
        <a:noFill/>
        <a:ln w="9525">
          <a:noFill/>
        </a:ln>
      </xdr:spPr>
    </xdr:pic>
  </etc:cellImage>
  <etc:cellImage>
    <xdr:pic>
      <xdr:nvPicPr>
        <xdr:cNvPr id="176" name="ID_04A54F4CBCC246ACA85CE78BC1A98615"/>
        <xdr:cNvPicPr>
          <a:picLocks noChangeAspect="1"/>
        </xdr:cNvPicPr>
      </xdr:nvPicPr>
      <xdr:blipFill>
        <a:blip r:embed="rId225"/>
        <a:stretch>
          <a:fillRect/>
        </a:stretch>
      </xdr:blipFill>
      <xdr:spPr>
        <a:xfrm>
          <a:off x="7402195" y="66205100"/>
          <a:ext cx="824230" cy="358775"/>
        </a:xfrm>
        <a:prstGeom prst="rect">
          <a:avLst/>
        </a:prstGeom>
        <a:noFill/>
        <a:ln w="9525">
          <a:noFill/>
        </a:ln>
      </xdr:spPr>
    </xdr:pic>
  </etc:cellImage>
  <etc:cellImage>
    <xdr:pic>
      <xdr:nvPicPr>
        <xdr:cNvPr id="352" name="ID_FB0AADD146F44F84B313F4121B028E81"/>
        <xdr:cNvPicPr/>
      </xdr:nvPicPr>
      <xdr:blipFill>
        <a:blip r:embed="rId226"/>
        <a:stretch>
          <a:fillRect/>
        </a:stretch>
      </xdr:blipFill>
      <xdr:spPr>
        <a:xfrm>
          <a:off x="6587490" y="67638295"/>
          <a:ext cx="669925" cy="1306830"/>
        </a:xfrm>
        <a:prstGeom prst="rect">
          <a:avLst/>
        </a:prstGeom>
      </xdr:spPr>
    </xdr:pic>
  </etc:cellImage>
  <etc:cellImage>
    <xdr:pic>
      <xdr:nvPicPr>
        <xdr:cNvPr id="876" name="ID_AEB400C529724B92BC74BF2152F7907F"/>
        <xdr:cNvPicPr/>
      </xdr:nvPicPr>
      <xdr:blipFill>
        <a:blip r:embed="rId227"/>
        <a:srcRect b="14983"/>
        <a:stretch>
          <a:fillRect/>
        </a:stretch>
      </xdr:blipFill>
      <xdr:spPr>
        <a:xfrm>
          <a:off x="6407785" y="1906270"/>
          <a:ext cx="1101090" cy="597535"/>
        </a:xfrm>
        <a:prstGeom prst="rect">
          <a:avLst/>
        </a:prstGeom>
      </xdr:spPr>
    </xdr:pic>
  </etc:cellImage>
  <etc:cellImage>
    <xdr:pic>
      <xdr:nvPicPr>
        <xdr:cNvPr id="332" name="ID_9F7E625792E44591B225EB631D3332E2"/>
        <xdr:cNvPicPr>
          <a:picLocks noChangeAspect="1"/>
        </xdr:cNvPicPr>
      </xdr:nvPicPr>
      <xdr:blipFill>
        <a:blip r:embed="rId228"/>
        <a:stretch>
          <a:fillRect/>
        </a:stretch>
      </xdr:blipFill>
      <xdr:spPr>
        <a:xfrm>
          <a:off x="6228715" y="1412240"/>
          <a:ext cx="1463040" cy="1254760"/>
        </a:xfrm>
        <a:prstGeom prst="rect">
          <a:avLst/>
        </a:prstGeom>
        <a:noFill/>
        <a:ln w="9525">
          <a:noFill/>
        </a:ln>
      </xdr:spPr>
    </xdr:pic>
  </etc:cellImage>
  <etc:cellImage>
    <xdr:pic>
      <xdr:nvPicPr>
        <xdr:cNvPr id="345" name="ID_A1119779B6934F6BA06184AC174C7C66"/>
        <xdr:cNvPicPr>
          <a:picLocks noChangeAspect="1"/>
        </xdr:cNvPicPr>
      </xdr:nvPicPr>
      <xdr:blipFill>
        <a:blip r:embed="rId229"/>
        <a:stretch>
          <a:fillRect/>
        </a:stretch>
      </xdr:blipFill>
      <xdr:spPr>
        <a:xfrm>
          <a:off x="6537960" y="35579685"/>
          <a:ext cx="502920" cy="644525"/>
        </a:xfrm>
        <a:prstGeom prst="rect">
          <a:avLst/>
        </a:prstGeom>
        <a:noFill/>
        <a:ln w="9525">
          <a:noFill/>
        </a:ln>
      </xdr:spPr>
    </xdr:pic>
  </etc:cellImage>
  <etc:cellImage>
    <xdr:pic>
      <xdr:nvPicPr>
        <xdr:cNvPr id="374" name="ID_DAF87BBE241D402FAC8A0E566E29E6F0"/>
        <xdr:cNvPicPr>
          <a:picLocks noChangeAspect="1"/>
        </xdr:cNvPicPr>
      </xdr:nvPicPr>
      <xdr:blipFill>
        <a:blip r:embed="rId230"/>
        <a:stretch>
          <a:fillRect/>
        </a:stretch>
      </xdr:blipFill>
      <xdr:spPr>
        <a:xfrm>
          <a:off x="6754495" y="48615600"/>
          <a:ext cx="556895" cy="554355"/>
        </a:xfrm>
        <a:prstGeom prst="rect">
          <a:avLst/>
        </a:prstGeom>
        <a:noFill/>
        <a:ln w="9525">
          <a:noFill/>
        </a:ln>
      </xdr:spPr>
    </xdr:pic>
  </etc:cellImage>
  <etc:cellImage>
    <xdr:pic>
      <xdr:nvPicPr>
        <xdr:cNvPr id="348" name="ID_7D690DB632CE43FFA55C77185C3A215A" descr="IMG_6825.JPG"/>
        <xdr:cNvPicPr>
          <a:picLocks noChangeAspect="1"/>
        </xdr:cNvPicPr>
      </xdr:nvPicPr>
      <xdr:blipFill>
        <a:blip r:embed="rId231"/>
        <a:stretch>
          <a:fillRect/>
        </a:stretch>
      </xdr:blipFill>
      <xdr:spPr>
        <a:xfrm>
          <a:off x="6341745" y="10306050"/>
          <a:ext cx="1349375" cy="1143635"/>
        </a:xfrm>
        <a:prstGeom prst="rect">
          <a:avLst/>
        </a:prstGeom>
      </xdr:spPr>
    </xdr:pic>
  </etc:cellImage>
  <etc:cellImage>
    <xdr:pic>
      <xdr:nvPicPr>
        <xdr:cNvPr id="331" name="ID_C8CFE12B4BF34A668FCE7776924F82C1"/>
        <xdr:cNvPicPr>
          <a:picLocks noChangeAspect="1"/>
        </xdr:cNvPicPr>
      </xdr:nvPicPr>
      <xdr:blipFill>
        <a:blip r:embed="rId232"/>
        <a:stretch>
          <a:fillRect/>
        </a:stretch>
      </xdr:blipFill>
      <xdr:spPr>
        <a:xfrm>
          <a:off x="6085205" y="2646680"/>
          <a:ext cx="1450340" cy="1191895"/>
        </a:xfrm>
        <a:prstGeom prst="rect">
          <a:avLst/>
        </a:prstGeom>
        <a:noFill/>
        <a:ln w="9525">
          <a:noFill/>
        </a:ln>
      </xdr:spPr>
    </xdr:pic>
  </etc:cellImage>
  <etc:cellImage>
    <xdr:pic>
      <xdr:nvPicPr>
        <xdr:cNvPr id="359" name="ID_F8279618E99242C392BFEDF86975BDD3"/>
        <xdr:cNvPicPr>
          <a:picLocks noChangeAspect="1"/>
        </xdr:cNvPicPr>
      </xdr:nvPicPr>
      <xdr:blipFill>
        <a:blip r:embed="rId233"/>
        <a:stretch>
          <a:fillRect/>
        </a:stretch>
      </xdr:blipFill>
      <xdr:spPr>
        <a:xfrm>
          <a:off x="6416040" y="16653510"/>
          <a:ext cx="1247140" cy="1111250"/>
        </a:xfrm>
        <a:prstGeom prst="rect">
          <a:avLst/>
        </a:prstGeom>
        <a:noFill/>
        <a:ln w="9525">
          <a:noFill/>
        </a:ln>
      </xdr:spPr>
    </xdr:pic>
  </etc:cellImage>
  <etc:cellImage>
    <xdr:pic>
      <xdr:nvPicPr>
        <xdr:cNvPr id="351" name="ID_36B1F9038CA945B78351E22E101C34B4" descr="IMG_6826.JPG"/>
        <xdr:cNvPicPr>
          <a:picLocks noChangeAspect="1"/>
        </xdr:cNvPicPr>
      </xdr:nvPicPr>
      <xdr:blipFill>
        <a:blip r:embed="rId234"/>
        <a:stretch>
          <a:fillRect/>
        </a:stretch>
      </xdr:blipFill>
      <xdr:spPr>
        <a:xfrm>
          <a:off x="6259195" y="11606530"/>
          <a:ext cx="1323340" cy="1113790"/>
        </a:xfrm>
        <a:prstGeom prst="rect">
          <a:avLst/>
        </a:prstGeom>
      </xdr:spPr>
    </xdr:pic>
  </etc:cellImage>
  <etc:cellImage>
    <xdr:pic>
      <xdr:nvPicPr>
        <xdr:cNvPr id="347" name="ID_9C2BA1B7E32F45779A9EC3A2317DFD0B" descr="tb_image_share_1743501827188.jpg"/>
        <xdr:cNvPicPr>
          <a:picLocks noChangeAspect="1"/>
        </xdr:cNvPicPr>
      </xdr:nvPicPr>
      <xdr:blipFill>
        <a:blip r:embed="rId235"/>
        <a:stretch>
          <a:fillRect/>
        </a:stretch>
      </xdr:blipFill>
      <xdr:spPr>
        <a:xfrm>
          <a:off x="6374765" y="7952740"/>
          <a:ext cx="1228090" cy="969645"/>
        </a:xfrm>
        <a:prstGeom prst="rect">
          <a:avLst/>
        </a:prstGeom>
      </xdr:spPr>
    </xdr:pic>
  </etc:cellImage>
  <etc:cellImage>
    <xdr:pic>
      <xdr:nvPicPr>
        <xdr:cNvPr id="339" name="ID_14067D6D1FD145B09E2F7F3D7F34C104"/>
        <xdr:cNvPicPr>
          <a:picLocks noChangeAspect="1"/>
        </xdr:cNvPicPr>
      </xdr:nvPicPr>
      <xdr:blipFill>
        <a:blip r:embed="rId236"/>
        <a:stretch>
          <a:fillRect/>
        </a:stretch>
      </xdr:blipFill>
      <xdr:spPr>
        <a:xfrm>
          <a:off x="6228715" y="5205730"/>
          <a:ext cx="1497965" cy="1178560"/>
        </a:xfrm>
        <a:prstGeom prst="rect">
          <a:avLst/>
        </a:prstGeom>
        <a:noFill/>
        <a:ln w="9525">
          <a:noFill/>
        </a:ln>
      </xdr:spPr>
    </xdr:pic>
  </etc:cellImage>
  <etc:cellImage>
    <xdr:pic>
      <xdr:nvPicPr>
        <xdr:cNvPr id="349" name="ID_1A1DF967162B4757B8B6EB7D12658518"/>
        <xdr:cNvPicPr/>
      </xdr:nvPicPr>
      <xdr:blipFill>
        <a:blip r:embed="rId237"/>
        <a:stretch>
          <a:fillRect/>
        </a:stretch>
      </xdr:blipFill>
      <xdr:spPr>
        <a:xfrm>
          <a:off x="6501130" y="52107465"/>
          <a:ext cx="941705" cy="603885"/>
        </a:xfrm>
        <a:prstGeom prst="rect">
          <a:avLst/>
        </a:prstGeom>
      </xdr:spPr>
    </xdr:pic>
  </etc:cellImage>
  <etc:cellImage>
    <xdr:pic>
      <xdr:nvPicPr>
        <xdr:cNvPr id="388" name="ID_0DF7F00BCAAF447B845802C047DC5ADD"/>
        <xdr:cNvPicPr>
          <a:picLocks noChangeAspect="1"/>
        </xdr:cNvPicPr>
      </xdr:nvPicPr>
      <xdr:blipFill>
        <a:blip r:embed="rId238"/>
        <a:stretch>
          <a:fillRect/>
        </a:stretch>
      </xdr:blipFill>
      <xdr:spPr>
        <a:xfrm>
          <a:off x="6396990" y="47769145"/>
          <a:ext cx="673735" cy="664845"/>
        </a:xfrm>
        <a:prstGeom prst="rect">
          <a:avLst/>
        </a:prstGeom>
        <a:noFill/>
        <a:ln w="9525">
          <a:noFill/>
        </a:ln>
      </xdr:spPr>
    </xdr:pic>
  </etc:cellImage>
  <etc:cellImage>
    <xdr:pic>
      <xdr:nvPicPr>
        <xdr:cNvPr id="333" name="ID_C209644ECC39463EA5B59B06CE28E370"/>
        <xdr:cNvPicPr>
          <a:picLocks noChangeAspect="1"/>
        </xdr:cNvPicPr>
      </xdr:nvPicPr>
      <xdr:blipFill>
        <a:blip r:embed="rId239"/>
        <a:stretch>
          <a:fillRect/>
        </a:stretch>
      </xdr:blipFill>
      <xdr:spPr>
        <a:xfrm>
          <a:off x="6082665" y="3916045"/>
          <a:ext cx="1452880" cy="1170305"/>
        </a:xfrm>
        <a:prstGeom prst="rect">
          <a:avLst/>
        </a:prstGeom>
        <a:noFill/>
        <a:ln w="9525">
          <a:noFill/>
        </a:ln>
      </xdr:spPr>
    </xdr:pic>
  </etc:cellImage>
  <etc:cellImage>
    <xdr:pic>
      <xdr:nvPicPr>
        <xdr:cNvPr id="375" name="ID_02BD03567913492D85F173504BF96720" descr="IMG_0757"/>
        <xdr:cNvPicPr>
          <a:picLocks noChangeAspect="1"/>
        </xdr:cNvPicPr>
      </xdr:nvPicPr>
      <xdr:blipFill>
        <a:blip r:embed="rId240"/>
        <a:stretch>
          <a:fillRect/>
        </a:stretch>
      </xdr:blipFill>
      <xdr:spPr>
        <a:xfrm>
          <a:off x="6460490" y="30680025"/>
          <a:ext cx="1211580" cy="1013460"/>
        </a:xfrm>
        <a:prstGeom prst="rect">
          <a:avLst/>
        </a:prstGeom>
      </xdr:spPr>
    </xdr:pic>
  </etc:cellImage>
  <etc:cellImage>
    <xdr:pic>
      <xdr:nvPicPr>
        <xdr:cNvPr id="363" name="ID_FB7124F7A7734BC8860FA0C9A76954EA"/>
        <xdr:cNvPicPr>
          <a:picLocks noChangeAspect="1"/>
        </xdr:cNvPicPr>
      </xdr:nvPicPr>
      <xdr:blipFill>
        <a:blip r:embed="rId241"/>
        <a:stretch>
          <a:fillRect/>
        </a:stretch>
      </xdr:blipFill>
      <xdr:spPr>
        <a:xfrm>
          <a:off x="6433185" y="20573365"/>
          <a:ext cx="1125220" cy="1019810"/>
        </a:xfrm>
        <a:prstGeom prst="rect">
          <a:avLst/>
        </a:prstGeom>
        <a:noFill/>
        <a:ln w="9525">
          <a:noFill/>
        </a:ln>
      </xdr:spPr>
    </xdr:pic>
  </etc:cellImage>
  <etc:cellImage>
    <xdr:pic>
      <xdr:nvPicPr>
        <xdr:cNvPr id="346" name="ID_A0E2573F5D9241B1815D10A6384DCBAE"/>
        <xdr:cNvPicPr>
          <a:picLocks noChangeAspect="1"/>
        </xdr:cNvPicPr>
      </xdr:nvPicPr>
      <xdr:blipFill>
        <a:blip r:embed="rId242"/>
        <a:stretch>
          <a:fillRect/>
        </a:stretch>
      </xdr:blipFill>
      <xdr:spPr>
        <a:xfrm>
          <a:off x="6442075" y="42464355"/>
          <a:ext cx="691515" cy="683260"/>
        </a:xfrm>
        <a:prstGeom prst="rect">
          <a:avLst/>
        </a:prstGeom>
        <a:noFill/>
        <a:ln w="9525">
          <a:noFill/>
        </a:ln>
      </xdr:spPr>
    </xdr:pic>
  </etc:cellImage>
  <etc:cellImage>
    <xdr:pic>
      <xdr:nvPicPr>
        <xdr:cNvPr id="337" name="ID_114F85FF395F4624ABA69E797BA1CEEF"/>
        <xdr:cNvPicPr/>
      </xdr:nvPicPr>
      <xdr:blipFill>
        <a:blip r:embed="rId243"/>
        <a:srcRect t="26508" b="25397"/>
        <a:stretch>
          <a:fillRect/>
        </a:stretch>
      </xdr:blipFill>
      <xdr:spPr>
        <a:xfrm>
          <a:off x="6110605" y="78826995"/>
          <a:ext cx="927735" cy="1040765"/>
        </a:xfrm>
        <a:prstGeom prst="rect">
          <a:avLst/>
        </a:prstGeom>
      </xdr:spPr>
    </xdr:pic>
  </etc:cellImage>
  <etc:cellImage>
    <xdr:pic>
      <xdr:nvPicPr>
        <xdr:cNvPr id="353" name="ID_70000D2840184CF6B1EFFE9B997386E0" descr="IMG_6829.JPG"/>
        <xdr:cNvPicPr>
          <a:picLocks noChangeAspect="1"/>
        </xdr:cNvPicPr>
      </xdr:nvPicPr>
      <xdr:blipFill>
        <a:blip r:embed="rId244"/>
        <a:stretch>
          <a:fillRect/>
        </a:stretch>
      </xdr:blipFill>
      <xdr:spPr>
        <a:xfrm>
          <a:off x="6258560" y="12856210"/>
          <a:ext cx="1339850" cy="1143635"/>
        </a:xfrm>
        <a:prstGeom prst="rect">
          <a:avLst/>
        </a:prstGeom>
      </xdr:spPr>
    </xdr:pic>
  </etc:cellImage>
  <etc:cellImage>
    <xdr:pic>
      <xdr:nvPicPr>
        <xdr:cNvPr id="370" name="ID_202214156CED412F9F7A7D8E4ECB85F4" descr="IMG_6842.JPG"/>
        <xdr:cNvPicPr>
          <a:picLocks noChangeAspect="1"/>
        </xdr:cNvPicPr>
      </xdr:nvPicPr>
      <xdr:blipFill>
        <a:blip r:embed="rId245"/>
        <a:stretch>
          <a:fillRect/>
        </a:stretch>
      </xdr:blipFill>
      <xdr:spPr>
        <a:xfrm>
          <a:off x="6461125" y="28183205"/>
          <a:ext cx="1192530" cy="1033780"/>
        </a:xfrm>
        <a:prstGeom prst="rect">
          <a:avLst/>
        </a:prstGeom>
      </xdr:spPr>
    </xdr:pic>
  </etc:cellImage>
  <etc:cellImage>
    <xdr:pic>
      <xdr:nvPicPr>
        <xdr:cNvPr id="354" name="ID_E68A0A6D307746A4BDB05622A1B42042" descr="IMG_6830.JPG"/>
        <xdr:cNvPicPr>
          <a:picLocks noChangeAspect="1"/>
        </xdr:cNvPicPr>
      </xdr:nvPicPr>
      <xdr:blipFill>
        <a:blip r:embed="rId246"/>
        <a:stretch>
          <a:fillRect/>
        </a:stretch>
      </xdr:blipFill>
      <xdr:spPr>
        <a:xfrm>
          <a:off x="6359525" y="14130655"/>
          <a:ext cx="1340485" cy="1169035"/>
        </a:xfrm>
        <a:prstGeom prst="rect">
          <a:avLst/>
        </a:prstGeom>
      </xdr:spPr>
    </xdr:pic>
  </etc:cellImage>
  <etc:cellImage>
    <xdr:pic>
      <xdr:nvPicPr>
        <xdr:cNvPr id="335" name="ID_2B020D9A176241068B6AAFBC3EF5F0A8" descr="IMG_9241"/>
        <xdr:cNvPicPr>
          <a:picLocks noChangeAspect="1"/>
        </xdr:cNvPicPr>
      </xdr:nvPicPr>
      <xdr:blipFill>
        <a:blip r:embed="rId247"/>
        <a:stretch>
          <a:fillRect/>
        </a:stretch>
      </xdr:blipFill>
      <xdr:spPr>
        <a:xfrm>
          <a:off x="6394450" y="34154745"/>
          <a:ext cx="712470" cy="714375"/>
        </a:xfrm>
        <a:prstGeom prst="rect">
          <a:avLst/>
        </a:prstGeom>
      </xdr:spPr>
    </xdr:pic>
  </etc:cellImage>
  <etc:cellImage>
    <xdr:pic>
      <xdr:nvPicPr>
        <xdr:cNvPr id="357" name="ID_DF38BCCD67104B5699FF54C4A192635E" descr="IMG_6831.JPG"/>
        <xdr:cNvPicPr>
          <a:picLocks noChangeAspect="1"/>
        </xdr:cNvPicPr>
      </xdr:nvPicPr>
      <xdr:blipFill>
        <a:blip r:embed="rId248"/>
        <a:stretch>
          <a:fillRect/>
        </a:stretch>
      </xdr:blipFill>
      <xdr:spPr>
        <a:xfrm>
          <a:off x="6571615" y="15429230"/>
          <a:ext cx="1155065" cy="970280"/>
        </a:xfrm>
        <a:prstGeom prst="rect">
          <a:avLst/>
        </a:prstGeom>
      </xdr:spPr>
    </xdr:pic>
  </etc:cellImage>
  <etc:cellImage>
    <xdr:pic>
      <xdr:nvPicPr>
        <xdr:cNvPr id="360" name="ID_854C2D7CF3C84C32BB40114768AC70D7"/>
        <xdr:cNvPicPr>
          <a:picLocks noChangeAspect="1"/>
        </xdr:cNvPicPr>
      </xdr:nvPicPr>
      <xdr:blipFill>
        <a:blip r:embed="rId249"/>
        <a:stretch>
          <a:fillRect/>
        </a:stretch>
      </xdr:blipFill>
      <xdr:spPr>
        <a:xfrm>
          <a:off x="6425565" y="17918430"/>
          <a:ext cx="1197610" cy="1073785"/>
        </a:xfrm>
        <a:prstGeom prst="rect">
          <a:avLst/>
        </a:prstGeom>
        <a:noFill/>
        <a:ln w="9525">
          <a:noFill/>
        </a:ln>
      </xdr:spPr>
    </xdr:pic>
  </etc:cellImage>
  <etc:cellImage>
    <xdr:pic>
      <xdr:nvPicPr>
        <xdr:cNvPr id="361" name="ID_AD595B67F24049B889515A464F8112C0" descr="IMG_6834.JPG"/>
        <xdr:cNvPicPr>
          <a:picLocks noChangeAspect="1"/>
        </xdr:cNvPicPr>
      </xdr:nvPicPr>
      <xdr:blipFill>
        <a:blip r:embed="rId250"/>
        <a:stretch>
          <a:fillRect/>
        </a:stretch>
      </xdr:blipFill>
      <xdr:spPr>
        <a:xfrm rot="10800000" flipV="1">
          <a:off x="6512560" y="19234150"/>
          <a:ext cx="967105" cy="985520"/>
        </a:xfrm>
        <a:prstGeom prst="rect">
          <a:avLst/>
        </a:prstGeom>
      </xdr:spPr>
    </xdr:pic>
  </etc:cellImage>
  <etc:cellImage>
    <xdr:pic>
      <xdr:nvPicPr>
        <xdr:cNvPr id="364" name="ID_9BAD756461964450B91C6371D2C0100A" descr="IMG_6837.JPG"/>
        <xdr:cNvPicPr>
          <a:picLocks noChangeAspect="1"/>
        </xdr:cNvPicPr>
      </xdr:nvPicPr>
      <xdr:blipFill>
        <a:blip r:embed="rId251"/>
        <a:stretch>
          <a:fillRect/>
        </a:stretch>
      </xdr:blipFill>
      <xdr:spPr>
        <a:xfrm>
          <a:off x="6461125" y="21842095"/>
          <a:ext cx="1146810" cy="1000760"/>
        </a:xfrm>
        <a:prstGeom prst="rect">
          <a:avLst/>
        </a:prstGeom>
      </xdr:spPr>
    </xdr:pic>
  </etc:cellImage>
  <etc:cellImage>
    <xdr:pic>
      <xdr:nvPicPr>
        <xdr:cNvPr id="804" name="ID_08B494509EB5450D8962522D9762C7E0"/>
        <xdr:cNvPicPr>
          <a:picLocks noChangeAspect="1"/>
        </xdr:cNvPicPr>
      </xdr:nvPicPr>
      <xdr:blipFill>
        <a:blip r:embed="rId252"/>
        <a:stretch>
          <a:fillRect/>
        </a:stretch>
      </xdr:blipFill>
      <xdr:spPr>
        <a:xfrm>
          <a:off x="6304280" y="22645370"/>
          <a:ext cx="1143635" cy="1051560"/>
        </a:xfrm>
        <a:prstGeom prst="rect">
          <a:avLst/>
        </a:prstGeom>
        <a:noFill/>
        <a:ln w="9525">
          <a:noFill/>
        </a:ln>
      </xdr:spPr>
    </xdr:pic>
  </etc:cellImage>
  <etc:cellImage>
    <xdr:pic>
      <xdr:nvPicPr>
        <xdr:cNvPr id="393" name="ID_3B2ADAFB974A4B5F8D9855AAFD410890"/>
        <xdr:cNvPicPr/>
      </xdr:nvPicPr>
      <xdr:blipFill>
        <a:blip r:embed="rId253"/>
        <a:stretch>
          <a:fillRect/>
        </a:stretch>
      </xdr:blipFill>
      <xdr:spPr>
        <a:xfrm>
          <a:off x="6110605" y="62674500"/>
          <a:ext cx="733425" cy="1600200"/>
        </a:xfrm>
        <a:prstGeom prst="rect">
          <a:avLst/>
        </a:prstGeom>
      </xdr:spPr>
    </xdr:pic>
  </etc:cellImage>
  <etc:cellImage>
    <xdr:pic>
      <xdr:nvPicPr>
        <xdr:cNvPr id="365" name="ID_96E281C7BBB04B8A98F69F4D064CE85F" descr="IMG_6839.JPG"/>
        <xdr:cNvPicPr>
          <a:picLocks noChangeAspect="1"/>
        </xdr:cNvPicPr>
      </xdr:nvPicPr>
      <xdr:blipFill>
        <a:blip r:embed="rId254"/>
        <a:stretch>
          <a:fillRect/>
        </a:stretch>
      </xdr:blipFill>
      <xdr:spPr>
        <a:xfrm>
          <a:off x="6414770" y="24281130"/>
          <a:ext cx="1286510" cy="1038225"/>
        </a:xfrm>
        <a:prstGeom prst="rect">
          <a:avLst/>
        </a:prstGeom>
      </xdr:spPr>
    </xdr:pic>
  </etc:cellImage>
  <etc:cellImage>
    <xdr:pic>
      <xdr:nvPicPr>
        <xdr:cNvPr id="368" name="ID_D36506B391454294A496DA69BEDF5152" descr="IMG_6840.JPG"/>
        <xdr:cNvPicPr>
          <a:picLocks noChangeAspect="1"/>
        </xdr:cNvPicPr>
      </xdr:nvPicPr>
      <xdr:blipFill>
        <a:blip r:embed="rId255"/>
        <a:stretch>
          <a:fillRect/>
        </a:stretch>
      </xdr:blipFill>
      <xdr:spPr>
        <a:xfrm>
          <a:off x="6369050" y="25533985"/>
          <a:ext cx="1229360" cy="1013460"/>
        </a:xfrm>
        <a:prstGeom prst="rect">
          <a:avLst/>
        </a:prstGeom>
      </xdr:spPr>
    </xdr:pic>
  </etc:cellImage>
  <etc:cellImage>
    <xdr:pic>
      <xdr:nvPicPr>
        <xdr:cNvPr id="369" name="ID_61F020A4F0944150B77048CCE1585D23" descr="IMG_6841.JPG"/>
        <xdr:cNvPicPr>
          <a:picLocks noChangeAspect="1"/>
        </xdr:cNvPicPr>
      </xdr:nvPicPr>
      <xdr:blipFill>
        <a:blip r:embed="rId256"/>
        <a:stretch>
          <a:fillRect/>
        </a:stretch>
      </xdr:blipFill>
      <xdr:spPr>
        <a:xfrm>
          <a:off x="6479540" y="26849070"/>
          <a:ext cx="1137920" cy="951865"/>
        </a:xfrm>
        <a:prstGeom prst="rect">
          <a:avLst/>
        </a:prstGeom>
      </xdr:spPr>
    </xdr:pic>
  </etc:cellImage>
  <etc:cellImage>
    <xdr:pic>
      <xdr:nvPicPr>
        <xdr:cNvPr id="384" name="ID_AC03794AFF7F4B5ABFBCEC2DB8C8E731" descr="IMG_7458"/>
        <xdr:cNvPicPr>
          <a:picLocks noChangeAspect="1"/>
        </xdr:cNvPicPr>
      </xdr:nvPicPr>
      <xdr:blipFill>
        <a:blip r:embed="rId257"/>
        <a:stretch>
          <a:fillRect/>
        </a:stretch>
      </xdr:blipFill>
      <xdr:spPr>
        <a:xfrm>
          <a:off x="6539230" y="43265725"/>
          <a:ext cx="687705" cy="688340"/>
        </a:xfrm>
        <a:prstGeom prst="rect">
          <a:avLst/>
        </a:prstGeom>
      </xdr:spPr>
    </xdr:pic>
  </etc:cellImage>
  <etc:cellImage>
    <xdr:pic>
      <xdr:nvPicPr>
        <xdr:cNvPr id="386" name="ID_3A132A897D3A4D828234FE0DF8D18413"/>
        <xdr:cNvPicPr>
          <a:picLocks noChangeAspect="1"/>
        </xdr:cNvPicPr>
      </xdr:nvPicPr>
      <xdr:blipFill>
        <a:blip r:embed="rId258"/>
        <a:stretch>
          <a:fillRect/>
        </a:stretch>
      </xdr:blipFill>
      <xdr:spPr>
        <a:xfrm>
          <a:off x="6440170" y="44732575"/>
          <a:ext cx="669290" cy="655955"/>
        </a:xfrm>
        <a:prstGeom prst="rect">
          <a:avLst/>
        </a:prstGeom>
        <a:noFill/>
        <a:ln w="9525">
          <a:noFill/>
        </a:ln>
      </xdr:spPr>
    </xdr:pic>
  </etc:cellImage>
  <etc:cellImage>
    <xdr:pic>
      <xdr:nvPicPr>
        <xdr:cNvPr id="372" name="ID_85F613A3A8E5487DAA02C99C8981CD39" descr="IMG_6843.JPG"/>
        <xdr:cNvPicPr>
          <a:picLocks noChangeAspect="1"/>
        </xdr:cNvPicPr>
      </xdr:nvPicPr>
      <xdr:blipFill>
        <a:blip r:embed="rId259"/>
        <a:stretch>
          <a:fillRect/>
        </a:stretch>
      </xdr:blipFill>
      <xdr:spPr>
        <a:xfrm>
          <a:off x="6516370" y="29366845"/>
          <a:ext cx="1127760" cy="948690"/>
        </a:xfrm>
        <a:prstGeom prst="rect">
          <a:avLst/>
        </a:prstGeom>
      </xdr:spPr>
    </xdr:pic>
  </etc:cellImage>
  <etc:cellImage>
    <xdr:pic>
      <xdr:nvPicPr>
        <xdr:cNvPr id="373" name="ID_D954D8FBDA174B9C9E22ADFFD8100763"/>
        <xdr:cNvPicPr/>
      </xdr:nvPicPr>
      <xdr:blipFill>
        <a:blip r:embed="rId260"/>
        <a:stretch>
          <a:fillRect/>
        </a:stretch>
      </xdr:blipFill>
      <xdr:spPr>
        <a:xfrm>
          <a:off x="6110605" y="69075300"/>
          <a:ext cx="923925" cy="1600200"/>
        </a:xfrm>
        <a:prstGeom prst="rect">
          <a:avLst/>
        </a:prstGeom>
      </xdr:spPr>
    </xdr:pic>
  </etc:cellImage>
  <etc:cellImage>
    <xdr:pic>
      <xdr:nvPicPr>
        <xdr:cNvPr id="344" name="ID_333B983412894F0294E5AE7C81B64008"/>
        <xdr:cNvPicPr>
          <a:picLocks noChangeAspect="1"/>
        </xdr:cNvPicPr>
      </xdr:nvPicPr>
      <xdr:blipFill>
        <a:blip r:embed="rId261"/>
        <a:stretch>
          <a:fillRect/>
        </a:stretch>
      </xdr:blipFill>
      <xdr:spPr>
        <a:xfrm>
          <a:off x="6520180" y="31814770"/>
          <a:ext cx="631825" cy="631190"/>
        </a:xfrm>
        <a:prstGeom prst="rect">
          <a:avLst/>
        </a:prstGeom>
      </xdr:spPr>
    </xdr:pic>
  </etc:cellImage>
  <etc:cellImage>
    <xdr:pic>
      <xdr:nvPicPr>
        <xdr:cNvPr id="376" name="ID_CF541540C04D49B0A01641AB73803792" descr="IMG_9238"/>
        <xdr:cNvPicPr>
          <a:picLocks noChangeAspect="1"/>
        </xdr:cNvPicPr>
      </xdr:nvPicPr>
      <xdr:blipFill>
        <a:blip r:embed="rId262"/>
        <a:stretch>
          <a:fillRect/>
        </a:stretch>
      </xdr:blipFill>
      <xdr:spPr>
        <a:xfrm>
          <a:off x="6494145" y="32534225"/>
          <a:ext cx="681355" cy="681990"/>
        </a:xfrm>
        <a:prstGeom prst="rect">
          <a:avLst/>
        </a:prstGeom>
      </xdr:spPr>
    </xdr:pic>
  </etc:cellImage>
  <etc:cellImage>
    <xdr:pic>
      <xdr:nvPicPr>
        <xdr:cNvPr id="377" name="ID_AF101AF4DA3B435F9C9B19E364E08D75" descr="IMG_9247"/>
        <xdr:cNvPicPr>
          <a:picLocks noChangeAspect="1"/>
        </xdr:cNvPicPr>
      </xdr:nvPicPr>
      <xdr:blipFill>
        <a:blip r:embed="rId263"/>
        <a:stretch>
          <a:fillRect/>
        </a:stretch>
      </xdr:blipFill>
      <xdr:spPr>
        <a:xfrm>
          <a:off x="6553835" y="36353750"/>
          <a:ext cx="651510" cy="648970"/>
        </a:xfrm>
        <a:prstGeom prst="rect">
          <a:avLst/>
        </a:prstGeom>
      </xdr:spPr>
    </xdr:pic>
  </etc:cellImage>
  <etc:cellImage>
    <xdr:pic>
      <xdr:nvPicPr>
        <xdr:cNvPr id="398" name="ID_C1D31A54141B408AA1F6F1B041F9FDB4"/>
        <xdr:cNvPicPr/>
      </xdr:nvPicPr>
      <xdr:blipFill>
        <a:blip r:embed="rId264"/>
        <a:stretch>
          <a:fillRect/>
        </a:stretch>
      </xdr:blipFill>
      <xdr:spPr>
        <a:xfrm>
          <a:off x="6679565" y="77240765"/>
          <a:ext cx="854075" cy="1123315"/>
        </a:xfrm>
        <a:prstGeom prst="rect">
          <a:avLst/>
        </a:prstGeom>
      </xdr:spPr>
    </xdr:pic>
  </etc:cellImage>
  <etc:cellImage>
    <xdr:pic>
      <xdr:nvPicPr>
        <xdr:cNvPr id="378" name="ID_56B09D1248294E9BAE2B0306544776AC" descr="IMG_9248"/>
        <xdr:cNvPicPr>
          <a:picLocks noChangeAspect="1"/>
        </xdr:cNvPicPr>
      </xdr:nvPicPr>
      <xdr:blipFill>
        <a:blip r:embed="rId265"/>
        <a:stretch>
          <a:fillRect/>
        </a:stretch>
      </xdr:blipFill>
      <xdr:spPr>
        <a:xfrm>
          <a:off x="6777355" y="37918390"/>
          <a:ext cx="582930" cy="585470"/>
        </a:xfrm>
        <a:prstGeom prst="rect">
          <a:avLst/>
        </a:prstGeom>
      </xdr:spPr>
    </xdr:pic>
  </etc:cellImage>
  <etc:cellImage>
    <xdr:pic>
      <xdr:nvPicPr>
        <xdr:cNvPr id="381" name="ID_E5440A1E60C3452FBCC3ADA4D973B57A"/>
        <xdr:cNvPicPr>
          <a:picLocks noChangeAspect="1"/>
        </xdr:cNvPicPr>
      </xdr:nvPicPr>
      <xdr:blipFill>
        <a:blip r:embed="rId266"/>
        <a:stretch>
          <a:fillRect/>
        </a:stretch>
      </xdr:blipFill>
      <xdr:spPr>
        <a:xfrm>
          <a:off x="6480175" y="39397305"/>
          <a:ext cx="746760" cy="684530"/>
        </a:xfrm>
        <a:prstGeom prst="rect">
          <a:avLst/>
        </a:prstGeom>
      </xdr:spPr>
    </xdr:pic>
  </etc:cellImage>
  <etc:cellImage>
    <xdr:pic>
      <xdr:nvPicPr>
        <xdr:cNvPr id="382" name="ID_4BA9C22B09494CBD832D98FC56FC73F3" descr="IMG_9253"/>
        <xdr:cNvPicPr>
          <a:picLocks noChangeAspect="1"/>
        </xdr:cNvPicPr>
      </xdr:nvPicPr>
      <xdr:blipFill>
        <a:blip r:embed="rId267"/>
        <a:stretch>
          <a:fillRect/>
        </a:stretch>
      </xdr:blipFill>
      <xdr:spPr>
        <a:xfrm>
          <a:off x="6687820" y="40211375"/>
          <a:ext cx="658495" cy="642620"/>
        </a:xfrm>
        <a:prstGeom prst="rect">
          <a:avLst/>
        </a:prstGeom>
      </xdr:spPr>
    </xdr:pic>
  </etc:cellImage>
  <etc:cellImage>
    <xdr:pic>
      <xdr:nvPicPr>
        <xdr:cNvPr id="350" name="ID_E137E12F126B442F9B4ED7671126D3EA"/>
        <xdr:cNvPicPr>
          <a:picLocks noChangeAspect="1"/>
        </xdr:cNvPicPr>
      </xdr:nvPicPr>
      <xdr:blipFill>
        <a:blip r:embed="rId268"/>
        <a:stretch>
          <a:fillRect/>
        </a:stretch>
      </xdr:blipFill>
      <xdr:spPr>
        <a:xfrm>
          <a:off x="6771640" y="41701720"/>
          <a:ext cx="639445" cy="622300"/>
        </a:xfrm>
        <a:prstGeom prst="rect">
          <a:avLst/>
        </a:prstGeom>
        <a:noFill/>
        <a:ln w="9525">
          <a:noFill/>
        </a:ln>
      </xdr:spPr>
    </xdr:pic>
  </etc:cellImage>
  <etc:cellImage>
    <xdr:pic>
      <xdr:nvPicPr>
        <xdr:cNvPr id="356" name="ID_26467623EA8E4B579A1C5755654796E2"/>
        <xdr:cNvPicPr>
          <a:picLocks noChangeAspect="1"/>
        </xdr:cNvPicPr>
      </xdr:nvPicPr>
      <xdr:blipFill>
        <a:blip r:embed="rId269"/>
        <a:stretch>
          <a:fillRect/>
        </a:stretch>
      </xdr:blipFill>
      <xdr:spPr>
        <a:xfrm>
          <a:off x="6558280" y="50092610"/>
          <a:ext cx="683895" cy="578485"/>
        </a:xfrm>
        <a:prstGeom prst="rect">
          <a:avLst/>
        </a:prstGeom>
        <a:noFill/>
        <a:ln w="9525">
          <a:noFill/>
        </a:ln>
      </xdr:spPr>
    </xdr:pic>
  </etc:cellImage>
  <etc:cellImage>
    <xdr:pic>
      <xdr:nvPicPr>
        <xdr:cNvPr id="385" name="ID_E84E55CF6C82415DB682A62C39F02581"/>
        <xdr:cNvPicPr>
          <a:picLocks noChangeAspect="1"/>
        </xdr:cNvPicPr>
      </xdr:nvPicPr>
      <xdr:blipFill>
        <a:blip r:embed="rId270"/>
        <a:stretch>
          <a:fillRect/>
        </a:stretch>
      </xdr:blipFill>
      <xdr:spPr>
        <a:xfrm>
          <a:off x="6440805" y="43970575"/>
          <a:ext cx="713105" cy="711835"/>
        </a:xfrm>
        <a:prstGeom prst="rect">
          <a:avLst/>
        </a:prstGeom>
        <a:noFill/>
        <a:ln w="9525">
          <a:noFill/>
        </a:ln>
      </xdr:spPr>
    </xdr:pic>
  </etc:cellImage>
  <etc:cellImage>
    <xdr:pic>
      <xdr:nvPicPr>
        <xdr:cNvPr id="387" name="ID_03F2A892476B4BE6A343EC8BAE1770C7"/>
        <xdr:cNvPicPr>
          <a:picLocks noChangeAspect="1"/>
        </xdr:cNvPicPr>
      </xdr:nvPicPr>
      <xdr:blipFill>
        <a:blip r:embed="rId271"/>
        <a:stretch>
          <a:fillRect/>
        </a:stretch>
      </xdr:blipFill>
      <xdr:spPr>
        <a:xfrm>
          <a:off x="6461125" y="45474255"/>
          <a:ext cx="685165" cy="700405"/>
        </a:xfrm>
        <a:prstGeom prst="rect">
          <a:avLst/>
        </a:prstGeom>
        <a:noFill/>
        <a:ln w="9525">
          <a:noFill/>
        </a:ln>
      </xdr:spPr>
    </xdr:pic>
  </etc:cellImage>
  <etc:cellImage>
    <xdr:pic>
      <xdr:nvPicPr>
        <xdr:cNvPr id="371" name="ID_C2E0AB56E9984DFDAE524C215883CE9A"/>
        <xdr:cNvPicPr>
          <a:picLocks noChangeAspect="1"/>
        </xdr:cNvPicPr>
      </xdr:nvPicPr>
      <xdr:blipFill>
        <a:blip r:embed="rId272"/>
        <a:stretch>
          <a:fillRect/>
        </a:stretch>
      </xdr:blipFill>
      <xdr:spPr>
        <a:xfrm>
          <a:off x="6574790" y="46318170"/>
          <a:ext cx="497205" cy="640715"/>
        </a:xfrm>
        <a:prstGeom prst="rect">
          <a:avLst/>
        </a:prstGeom>
        <a:noFill/>
        <a:ln w="9525">
          <a:noFill/>
        </a:ln>
      </xdr:spPr>
    </xdr:pic>
  </etc:cellImage>
  <etc:cellImage>
    <xdr:pic>
      <xdr:nvPicPr>
        <xdr:cNvPr id="391" name="ID_A27823217EB44F7BA4AA1CCB7F387AD1"/>
        <xdr:cNvPicPr/>
      </xdr:nvPicPr>
      <xdr:blipFill>
        <a:blip r:embed="rId273"/>
        <a:stretch>
          <a:fillRect/>
        </a:stretch>
      </xdr:blipFill>
      <xdr:spPr>
        <a:xfrm>
          <a:off x="6677025" y="52141120"/>
          <a:ext cx="809625" cy="733425"/>
        </a:xfrm>
        <a:prstGeom prst="rect">
          <a:avLst/>
        </a:prstGeom>
      </xdr:spPr>
    </xdr:pic>
  </etc:cellImage>
  <etc:cellImage>
    <xdr:pic>
      <xdr:nvPicPr>
        <xdr:cNvPr id="366" name="ID_3B524CCEE84F4467AA69FCAA4E053F2D"/>
        <xdr:cNvPicPr>
          <a:picLocks noChangeAspect="1"/>
        </xdr:cNvPicPr>
      </xdr:nvPicPr>
      <xdr:blipFill>
        <a:blip r:embed="rId274"/>
        <a:stretch>
          <a:fillRect/>
        </a:stretch>
      </xdr:blipFill>
      <xdr:spPr>
        <a:xfrm>
          <a:off x="6623685" y="46998255"/>
          <a:ext cx="703580" cy="713740"/>
        </a:xfrm>
        <a:prstGeom prst="rect">
          <a:avLst/>
        </a:prstGeom>
        <a:noFill/>
        <a:ln w="9525">
          <a:noFill/>
        </a:ln>
      </xdr:spPr>
    </xdr:pic>
  </etc:cellImage>
  <etc:cellImage>
    <xdr:pic>
      <xdr:nvPicPr>
        <xdr:cNvPr id="343" name="ID_12174466213B4C94B0E01A4185087110"/>
        <xdr:cNvPicPr/>
      </xdr:nvPicPr>
      <xdr:blipFill>
        <a:blip r:embed="rId275"/>
        <a:stretch>
          <a:fillRect/>
        </a:stretch>
      </xdr:blipFill>
      <xdr:spPr>
        <a:xfrm>
          <a:off x="6276340" y="53244115"/>
          <a:ext cx="1482725" cy="1391285"/>
        </a:xfrm>
        <a:prstGeom prst="rect">
          <a:avLst/>
        </a:prstGeom>
      </xdr:spPr>
    </xdr:pic>
  </etc:cellImage>
  <etc:cellImage>
    <xdr:pic>
      <xdr:nvPicPr>
        <xdr:cNvPr id="389" name="ID_B90317ABA7584CB09C1B2B17687C682A"/>
        <xdr:cNvPicPr>
          <a:picLocks noChangeAspect="1"/>
        </xdr:cNvPicPr>
      </xdr:nvPicPr>
      <xdr:blipFill>
        <a:blip r:embed="rId276"/>
        <a:stretch>
          <a:fillRect/>
        </a:stretch>
      </xdr:blipFill>
      <xdr:spPr>
        <a:xfrm>
          <a:off x="6674485" y="49336325"/>
          <a:ext cx="589915" cy="593725"/>
        </a:xfrm>
        <a:prstGeom prst="rect">
          <a:avLst/>
        </a:prstGeom>
        <a:noFill/>
        <a:ln w="9525">
          <a:noFill/>
        </a:ln>
      </xdr:spPr>
    </xdr:pic>
  </etc:cellImage>
  <etc:cellImage>
    <xdr:pic>
      <xdr:nvPicPr>
        <xdr:cNvPr id="379" name="ID_38A5B3A2951A4642B4E0ED6B3A78B5C6"/>
        <xdr:cNvPicPr>
          <a:picLocks noChangeAspect="1"/>
        </xdr:cNvPicPr>
      </xdr:nvPicPr>
      <xdr:blipFill>
        <a:blip r:embed="rId277"/>
        <a:stretch>
          <a:fillRect/>
        </a:stretch>
      </xdr:blipFill>
      <xdr:spPr>
        <a:xfrm>
          <a:off x="6428740" y="50826670"/>
          <a:ext cx="693420" cy="689610"/>
        </a:xfrm>
        <a:prstGeom prst="rect">
          <a:avLst/>
        </a:prstGeom>
        <a:noFill/>
        <a:ln w="9525">
          <a:noFill/>
        </a:ln>
      </xdr:spPr>
    </xdr:pic>
  </etc:cellImage>
  <etc:cellImage>
    <xdr:pic>
      <xdr:nvPicPr>
        <xdr:cNvPr id="400" name="ID_6136ABB18EB24731A36A52878C8354AD"/>
        <xdr:cNvPicPr/>
      </xdr:nvPicPr>
      <xdr:blipFill>
        <a:blip r:embed="rId278"/>
        <a:stretch>
          <a:fillRect/>
        </a:stretch>
      </xdr:blipFill>
      <xdr:spPr>
        <a:xfrm>
          <a:off x="6560185" y="82040730"/>
          <a:ext cx="901700" cy="1371600"/>
        </a:xfrm>
        <a:prstGeom prst="rect">
          <a:avLst/>
        </a:prstGeom>
      </xdr:spPr>
    </xdr:pic>
  </etc:cellImage>
  <etc:cellImage>
    <xdr:pic>
      <xdr:nvPicPr>
        <xdr:cNvPr id="362" name="ID_660F8772AF624F7A8C9F43E7AA3439F8"/>
        <xdr:cNvPicPr/>
      </xdr:nvPicPr>
      <xdr:blipFill>
        <a:blip r:embed="rId279"/>
        <a:stretch>
          <a:fillRect/>
        </a:stretch>
      </xdr:blipFill>
      <xdr:spPr>
        <a:xfrm>
          <a:off x="6307455" y="54782720"/>
          <a:ext cx="1616710" cy="1368425"/>
        </a:xfrm>
        <a:prstGeom prst="rect">
          <a:avLst/>
        </a:prstGeom>
      </xdr:spPr>
    </xdr:pic>
  </etc:cellImage>
  <etc:cellImage>
    <xdr:pic>
      <xdr:nvPicPr>
        <xdr:cNvPr id="872" name="ID_126A7350451349E9BF34E0B22139E121"/>
        <xdr:cNvPicPr/>
      </xdr:nvPicPr>
      <xdr:blipFill>
        <a:blip r:embed="rId280"/>
        <a:stretch>
          <a:fillRect/>
        </a:stretch>
      </xdr:blipFill>
      <xdr:spPr>
        <a:xfrm>
          <a:off x="6268720" y="1112520"/>
          <a:ext cx="1066800" cy="629285"/>
        </a:xfrm>
        <a:prstGeom prst="rect">
          <a:avLst/>
        </a:prstGeom>
      </xdr:spPr>
    </xdr:pic>
  </etc:cellImage>
  <etc:cellImage>
    <xdr:pic>
      <xdr:nvPicPr>
        <xdr:cNvPr id="338" name="ID_F105B09E943F4B68BFBA7D738EA9202D"/>
        <xdr:cNvPicPr/>
      </xdr:nvPicPr>
      <xdr:blipFill>
        <a:blip r:embed="rId281"/>
        <a:stretch>
          <a:fillRect/>
        </a:stretch>
      </xdr:blipFill>
      <xdr:spPr>
        <a:xfrm>
          <a:off x="6217285" y="59693810"/>
          <a:ext cx="1735455" cy="1304290"/>
        </a:xfrm>
        <a:prstGeom prst="rect">
          <a:avLst/>
        </a:prstGeom>
      </xdr:spPr>
    </xdr:pic>
  </etc:cellImage>
  <etc:cellImage>
    <xdr:pic>
      <xdr:nvPicPr>
        <xdr:cNvPr id="396" name="ID_45884B59ECD040A4A00BDD468695699A"/>
        <xdr:cNvPicPr/>
      </xdr:nvPicPr>
      <xdr:blipFill>
        <a:blip r:embed="rId282"/>
        <a:srcRect t="31429" b="32439"/>
        <a:stretch>
          <a:fillRect/>
        </a:stretch>
      </xdr:blipFill>
      <xdr:spPr>
        <a:xfrm>
          <a:off x="6440805" y="74077195"/>
          <a:ext cx="1278890" cy="1049020"/>
        </a:xfrm>
        <a:prstGeom prst="rect">
          <a:avLst/>
        </a:prstGeom>
      </xdr:spPr>
    </xdr:pic>
  </etc:cellImage>
  <etc:cellImage>
    <xdr:pic>
      <xdr:nvPicPr>
        <xdr:cNvPr id="383" name="ID_F07A21BD254449C7AA9DDFB4F5222CF3"/>
        <xdr:cNvPicPr/>
      </xdr:nvPicPr>
      <xdr:blipFill>
        <a:blip r:embed="rId283"/>
        <a:stretch>
          <a:fillRect/>
        </a:stretch>
      </xdr:blipFill>
      <xdr:spPr>
        <a:xfrm>
          <a:off x="6532245" y="64373760"/>
          <a:ext cx="951865" cy="1205865"/>
        </a:xfrm>
        <a:prstGeom prst="rect">
          <a:avLst/>
        </a:prstGeom>
      </xdr:spPr>
    </xdr:pic>
  </etc:cellImage>
  <etc:cellImage>
    <xdr:pic>
      <xdr:nvPicPr>
        <xdr:cNvPr id="395" name="ID_EDBADE6848E947328F5D805FA9AE6125"/>
        <xdr:cNvPicPr/>
      </xdr:nvPicPr>
      <xdr:blipFill>
        <a:blip r:embed="rId284"/>
        <a:stretch>
          <a:fillRect/>
        </a:stretch>
      </xdr:blipFill>
      <xdr:spPr>
        <a:xfrm>
          <a:off x="6376670" y="72495410"/>
          <a:ext cx="1396365" cy="1178560"/>
        </a:xfrm>
        <a:prstGeom prst="rect">
          <a:avLst/>
        </a:prstGeom>
      </xdr:spPr>
    </xdr:pic>
  </etc:cellImage>
  <etc:cellImage>
    <xdr:pic>
      <xdr:nvPicPr>
        <xdr:cNvPr id="397" name="ID_793354CFCC234460A688B4B936F55B54"/>
        <xdr:cNvPicPr/>
      </xdr:nvPicPr>
      <xdr:blipFill>
        <a:blip r:embed="rId285"/>
        <a:stretch>
          <a:fillRect/>
        </a:stretch>
      </xdr:blipFill>
      <xdr:spPr>
        <a:xfrm>
          <a:off x="6431280" y="75666600"/>
          <a:ext cx="1209675" cy="1187450"/>
        </a:xfrm>
        <a:prstGeom prst="rect">
          <a:avLst/>
        </a:prstGeom>
      </xdr:spPr>
    </xdr:pic>
  </etc:cellImage>
  <etc:cellImage>
    <xdr:pic>
      <xdr:nvPicPr>
        <xdr:cNvPr id="399" name="ID_EC0BE0E2E5E440E3813AF720624169BB"/>
        <xdr:cNvPicPr/>
      </xdr:nvPicPr>
      <xdr:blipFill>
        <a:blip r:embed="rId286"/>
        <a:srcRect t="22698" b="23294"/>
        <a:stretch>
          <a:fillRect/>
        </a:stretch>
      </xdr:blipFill>
      <xdr:spPr>
        <a:xfrm>
          <a:off x="6110605" y="80443705"/>
          <a:ext cx="935990" cy="1058545"/>
        </a:xfrm>
        <a:prstGeom prst="rect">
          <a:avLst/>
        </a:prstGeom>
      </xdr:spPr>
    </xdr:pic>
  </etc:cellImage>
  <etc:cellImage>
    <xdr:pic>
      <xdr:nvPicPr>
        <xdr:cNvPr id="810" name="ID_DDA1D18BE5FA458DA42C62D77A6C0E16"/>
        <xdr:cNvPicPr/>
      </xdr:nvPicPr>
      <xdr:blipFill>
        <a:blip r:embed="rId287"/>
        <a:stretch>
          <a:fillRect/>
        </a:stretch>
      </xdr:blipFill>
      <xdr:spPr>
        <a:xfrm>
          <a:off x="6378575" y="5842000"/>
          <a:ext cx="1064895" cy="967740"/>
        </a:xfrm>
        <a:prstGeom prst="rect">
          <a:avLst/>
        </a:prstGeom>
      </xdr:spPr>
    </xdr:pic>
  </etc:cellImage>
  <etc:cellImage>
    <xdr:pic>
      <xdr:nvPicPr>
        <xdr:cNvPr id="808" name="ID_941A234AC7FC4E1BA8626670CDE0B360"/>
        <xdr:cNvPicPr/>
      </xdr:nvPicPr>
      <xdr:blipFill>
        <a:blip r:embed="rId288"/>
        <a:stretch>
          <a:fillRect/>
        </a:stretch>
      </xdr:blipFill>
      <xdr:spPr>
        <a:xfrm>
          <a:off x="6463030" y="6883400"/>
          <a:ext cx="989330" cy="974725"/>
        </a:xfrm>
        <a:prstGeom prst="rect">
          <a:avLst/>
        </a:prstGeom>
      </xdr:spPr>
    </xdr:pic>
  </etc:cellImage>
  <etc:cellImage>
    <xdr:pic>
      <xdr:nvPicPr>
        <xdr:cNvPr id="802" name="ID_CCC71DF850904FA59C242919FEA32887"/>
        <xdr:cNvPicPr>
          <a:picLocks noChangeAspect="1"/>
        </xdr:cNvPicPr>
      </xdr:nvPicPr>
      <xdr:blipFill>
        <a:blip r:embed="rId289"/>
        <a:stretch>
          <a:fillRect/>
        </a:stretch>
      </xdr:blipFill>
      <xdr:spPr>
        <a:xfrm>
          <a:off x="6228080" y="27037665"/>
          <a:ext cx="1362710" cy="1098550"/>
        </a:xfrm>
        <a:prstGeom prst="rect">
          <a:avLst/>
        </a:prstGeom>
        <a:noFill/>
        <a:ln w="9525">
          <a:noFill/>
        </a:ln>
      </xdr:spPr>
    </xdr:pic>
  </etc:cellImage>
  <etc:cellImage>
    <xdr:pic>
      <xdr:nvPicPr>
        <xdr:cNvPr id="816" name="ID_AE2842D674224C66975FCDD4FABC38E0"/>
        <xdr:cNvPicPr>
          <a:picLocks noChangeAspect="1"/>
        </xdr:cNvPicPr>
      </xdr:nvPicPr>
      <xdr:blipFill>
        <a:blip r:embed="rId290"/>
        <a:stretch>
          <a:fillRect/>
        </a:stretch>
      </xdr:blipFill>
      <xdr:spPr>
        <a:xfrm>
          <a:off x="6286500" y="28280360"/>
          <a:ext cx="1204595" cy="1021080"/>
        </a:xfrm>
        <a:prstGeom prst="rect">
          <a:avLst/>
        </a:prstGeom>
        <a:noFill/>
        <a:ln w="9525">
          <a:noFill/>
        </a:ln>
      </xdr:spPr>
    </xdr:pic>
  </etc:cellImage>
  <etc:cellImage>
    <xdr:pic>
      <xdr:nvPicPr>
        <xdr:cNvPr id="817" name="ID_F0E5B45DB837483896B14F78B01D0AD3"/>
        <xdr:cNvPicPr>
          <a:picLocks noChangeAspect="1"/>
        </xdr:cNvPicPr>
      </xdr:nvPicPr>
      <xdr:blipFill>
        <a:blip r:embed="rId291"/>
        <a:stretch>
          <a:fillRect/>
        </a:stretch>
      </xdr:blipFill>
      <xdr:spPr>
        <a:xfrm>
          <a:off x="6271895" y="21491575"/>
          <a:ext cx="1193165" cy="1039495"/>
        </a:xfrm>
        <a:prstGeom prst="rect">
          <a:avLst/>
        </a:prstGeom>
        <a:noFill/>
        <a:ln w="9525">
          <a:noFill/>
        </a:ln>
      </xdr:spPr>
    </xdr:pic>
  </etc:cellImage>
  <etc:cellImage>
    <xdr:pic>
      <xdr:nvPicPr>
        <xdr:cNvPr id="823" name="ID_EEDFF716336E4FCAB67B75678AD488F4"/>
        <xdr:cNvPicPr/>
      </xdr:nvPicPr>
      <xdr:blipFill>
        <a:blip r:embed="rId292"/>
        <a:srcRect l="9355" t="9846" r="11364" b="32000"/>
        <a:stretch>
          <a:fillRect/>
        </a:stretch>
      </xdr:blipFill>
      <xdr:spPr>
        <a:xfrm>
          <a:off x="6447155" y="5029200"/>
          <a:ext cx="990600" cy="631190"/>
        </a:xfrm>
        <a:prstGeom prst="rect">
          <a:avLst/>
        </a:prstGeom>
      </xdr:spPr>
    </xdr:pic>
  </etc:cellImage>
  <etc:cellImage>
    <xdr:pic>
      <xdr:nvPicPr>
        <xdr:cNvPr id="840" name="ID_D47E2CD4C5394E658A50D523B72D27A5"/>
        <xdr:cNvPicPr>
          <a:picLocks noChangeAspect="1"/>
        </xdr:cNvPicPr>
      </xdr:nvPicPr>
      <xdr:blipFill>
        <a:blip r:embed="rId293"/>
        <a:stretch>
          <a:fillRect/>
        </a:stretch>
      </xdr:blipFill>
      <xdr:spPr>
        <a:xfrm>
          <a:off x="6494780" y="12261850"/>
          <a:ext cx="1004570" cy="817880"/>
        </a:xfrm>
        <a:prstGeom prst="rect">
          <a:avLst/>
        </a:prstGeom>
        <a:noFill/>
        <a:ln w="9525">
          <a:noFill/>
        </a:ln>
      </xdr:spPr>
    </xdr:pic>
  </etc:cellImage>
  <etc:cellImage>
    <xdr:pic>
      <xdr:nvPicPr>
        <xdr:cNvPr id="880" name="ID_9A503FB8970A4989A0B1F77A44673265"/>
        <xdr:cNvPicPr/>
      </xdr:nvPicPr>
      <xdr:blipFill>
        <a:blip r:embed="rId294"/>
        <a:stretch>
          <a:fillRect/>
        </a:stretch>
      </xdr:blipFill>
      <xdr:spPr>
        <a:xfrm>
          <a:off x="6352540" y="2659380"/>
          <a:ext cx="1090295" cy="558800"/>
        </a:xfrm>
        <a:prstGeom prst="rect">
          <a:avLst/>
        </a:prstGeom>
      </xdr:spPr>
    </xdr:pic>
  </etc:cellImage>
  <etc:cellImage>
    <xdr:pic>
      <xdr:nvPicPr>
        <xdr:cNvPr id="883" name="ID_AB1AD8EC81BD4BF78BF4B2001B9CB988"/>
        <xdr:cNvPicPr/>
      </xdr:nvPicPr>
      <xdr:blipFill>
        <a:blip r:embed="rId295"/>
        <a:stretch>
          <a:fillRect/>
        </a:stretch>
      </xdr:blipFill>
      <xdr:spPr>
        <a:xfrm>
          <a:off x="6322695" y="3451225"/>
          <a:ext cx="1217930" cy="589915"/>
        </a:xfrm>
        <a:prstGeom prst="rect">
          <a:avLst/>
        </a:prstGeom>
      </xdr:spPr>
    </xdr:pic>
  </etc:cellImage>
  <etc:cellImage>
    <xdr:pic>
      <xdr:nvPicPr>
        <xdr:cNvPr id="887" name="ID_DD869FACB4EC41AA8831355259B53723"/>
        <xdr:cNvPicPr>
          <a:picLocks noChangeAspect="1"/>
        </xdr:cNvPicPr>
      </xdr:nvPicPr>
      <xdr:blipFill>
        <a:blip r:embed="rId296"/>
        <a:stretch>
          <a:fillRect/>
        </a:stretch>
      </xdr:blipFill>
      <xdr:spPr>
        <a:xfrm>
          <a:off x="6363970" y="4204970"/>
          <a:ext cx="1031240" cy="577850"/>
        </a:xfrm>
        <a:prstGeom prst="rect">
          <a:avLst/>
        </a:prstGeom>
        <a:noFill/>
        <a:ln w="9525">
          <a:noFill/>
        </a:ln>
      </xdr:spPr>
    </xdr:pic>
  </etc:cellImage>
  <etc:cellImage>
    <xdr:pic>
      <xdr:nvPicPr>
        <xdr:cNvPr id="268" name="ID_8C404B09C6544F69AAA525AD75BC3E52"/>
        <xdr:cNvPicPr>
          <a:picLocks noChangeAspect="1"/>
        </xdr:cNvPicPr>
      </xdr:nvPicPr>
      <xdr:blipFill>
        <a:blip r:embed="rId297"/>
        <a:stretch>
          <a:fillRect/>
        </a:stretch>
      </xdr:blipFill>
      <xdr:spPr>
        <a:xfrm>
          <a:off x="78827630" y="48881665"/>
          <a:ext cx="608330" cy="490220"/>
        </a:xfrm>
        <a:prstGeom prst="rect">
          <a:avLst/>
        </a:prstGeom>
        <a:noFill/>
        <a:ln w="9525">
          <a:noFill/>
        </a:ln>
      </xdr:spPr>
    </xdr:pic>
  </etc:cellImage>
  <etc:cellImage>
    <xdr:pic>
      <xdr:nvPicPr>
        <xdr:cNvPr id="269" name="ID_1FE56E86804E48C1B4A38A8CDCC3ED7A"/>
        <xdr:cNvPicPr>
          <a:picLocks noChangeAspect="1"/>
        </xdr:cNvPicPr>
      </xdr:nvPicPr>
      <xdr:blipFill>
        <a:blip r:embed="rId298"/>
        <a:stretch>
          <a:fillRect/>
        </a:stretch>
      </xdr:blipFill>
      <xdr:spPr>
        <a:xfrm>
          <a:off x="78865095" y="49608740"/>
          <a:ext cx="603250" cy="483870"/>
        </a:xfrm>
        <a:prstGeom prst="rect">
          <a:avLst/>
        </a:prstGeom>
        <a:noFill/>
        <a:ln w="9525">
          <a:noFill/>
        </a:ln>
      </xdr:spPr>
    </xdr:pic>
  </etc:cellImage>
  <etc:cellImage>
    <xdr:pic>
      <xdr:nvPicPr>
        <xdr:cNvPr id="270" name="ID_901BCA53BF014F7CB94B4D6C4C56E03F"/>
        <xdr:cNvPicPr>
          <a:picLocks noChangeAspect="1"/>
        </xdr:cNvPicPr>
      </xdr:nvPicPr>
      <xdr:blipFill>
        <a:blip r:embed="rId299"/>
        <a:stretch>
          <a:fillRect/>
        </a:stretch>
      </xdr:blipFill>
      <xdr:spPr>
        <a:xfrm>
          <a:off x="78877160" y="50245010"/>
          <a:ext cx="586105" cy="431800"/>
        </a:xfrm>
        <a:prstGeom prst="rect">
          <a:avLst/>
        </a:prstGeom>
        <a:noFill/>
        <a:ln w="9525">
          <a:noFill/>
        </a:ln>
      </xdr:spPr>
    </xdr:pic>
  </etc:cellImage>
  <etc:cellImage>
    <xdr:pic>
      <xdr:nvPicPr>
        <xdr:cNvPr id="275" name="ID_B578C3B28C934063B4C9DC07142EEA76"/>
        <xdr:cNvPicPr>
          <a:picLocks noChangeAspect="1"/>
        </xdr:cNvPicPr>
      </xdr:nvPicPr>
      <xdr:blipFill>
        <a:blip r:embed="rId300"/>
        <a:stretch>
          <a:fillRect/>
        </a:stretch>
      </xdr:blipFill>
      <xdr:spPr>
        <a:xfrm>
          <a:off x="78831440" y="50900330"/>
          <a:ext cx="603250" cy="909320"/>
        </a:xfrm>
        <a:prstGeom prst="rect">
          <a:avLst/>
        </a:prstGeom>
        <a:noFill/>
        <a:ln w="9525">
          <a:noFill/>
        </a:ln>
      </xdr:spPr>
    </xdr:pic>
  </etc:cellImage>
  <etc:cellImage>
    <xdr:pic>
      <xdr:nvPicPr>
        <xdr:cNvPr id="276" name="ID_59A353E937F84F07A3CEA7B7EF96C953"/>
        <xdr:cNvPicPr>
          <a:picLocks noChangeAspect="1"/>
        </xdr:cNvPicPr>
      </xdr:nvPicPr>
      <xdr:blipFill>
        <a:blip r:embed="rId301"/>
        <a:stretch>
          <a:fillRect/>
        </a:stretch>
      </xdr:blipFill>
      <xdr:spPr>
        <a:xfrm>
          <a:off x="78865730" y="51619150"/>
          <a:ext cx="576580" cy="567690"/>
        </a:xfrm>
        <a:prstGeom prst="rect">
          <a:avLst/>
        </a:prstGeom>
        <a:noFill/>
        <a:ln w="9525">
          <a:noFill/>
        </a:ln>
      </xdr:spPr>
    </xdr:pic>
  </etc:cellImage>
  <etc:cellImage>
    <xdr:pic>
      <xdr:nvPicPr>
        <xdr:cNvPr id="277" name="ID_5310756A3DC7467486506CC69F625BC4"/>
        <xdr:cNvPicPr>
          <a:picLocks noChangeAspect="1"/>
        </xdr:cNvPicPr>
      </xdr:nvPicPr>
      <xdr:blipFill>
        <a:blip r:embed="rId301"/>
        <a:stretch>
          <a:fillRect/>
        </a:stretch>
      </xdr:blipFill>
      <xdr:spPr>
        <a:xfrm>
          <a:off x="78892400" y="52304950"/>
          <a:ext cx="576580" cy="567690"/>
        </a:xfrm>
        <a:prstGeom prst="rect">
          <a:avLst/>
        </a:prstGeom>
        <a:noFill/>
        <a:ln w="9525">
          <a:noFill/>
        </a:ln>
      </xdr:spPr>
    </xdr:pic>
  </etc:cellImage>
  <etc:cellImage>
    <xdr:pic>
      <xdr:nvPicPr>
        <xdr:cNvPr id="267" name="ID_F42301209C5C4291BCD5ED244417AEEC"/>
        <xdr:cNvPicPr>
          <a:picLocks noChangeAspect="1"/>
        </xdr:cNvPicPr>
      </xdr:nvPicPr>
      <xdr:blipFill>
        <a:blip r:embed="rId302"/>
        <a:stretch>
          <a:fillRect/>
        </a:stretch>
      </xdr:blipFill>
      <xdr:spPr>
        <a:xfrm>
          <a:off x="78887955" y="52994560"/>
          <a:ext cx="610870" cy="897255"/>
        </a:xfrm>
        <a:prstGeom prst="rect">
          <a:avLst/>
        </a:prstGeom>
        <a:noFill/>
        <a:ln w="9525">
          <a:noFill/>
        </a:ln>
      </xdr:spPr>
    </xdr:pic>
  </etc:cellImage>
  <etc:cellImage>
    <xdr:pic>
      <xdr:nvPicPr>
        <xdr:cNvPr id="278" name="ID_122E3EC9DA874933909C4B2BBB983AFF"/>
        <xdr:cNvPicPr>
          <a:picLocks noChangeAspect="1"/>
        </xdr:cNvPicPr>
      </xdr:nvPicPr>
      <xdr:blipFill>
        <a:blip r:embed="rId303"/>
        <a:stretch>
          <a:fillRect/>
        </a:stretch>
      </xdr:blipFill>
      <xdr:spPr>
        <a:xfrm>
          <a:off x="78860650" y="53670200"/>
          <a:ext cx="605790" cy="577215"/>
        </a:xfrm>
        <a:prstGeom prst="rect">
          <a:avLst/>
        </a:prstGeom>
        <a:noFill/>
        <a:ln w="9525">
          <a:noFill/>
        </a:ln>
      </xdr:spPr>
    </xdr:pic>
  </etc:cellImage>
  <etc:cellImage>
    <xdr:pic>
      <xdr:nvPicPr>
        <xdr:cNvPr id="272" name="ID_1F04974F94E8488CBC4E901F113B3EB4"/>
        <xdr:cNvPicPr>
          <a:picLocks noChangeAspect="1"/>
        </xdr:cNvPicPr>
      </xdr:nvPicPr>
      <xdr:blipFill>
        <a:blip r:embed="rId304"/>
        <a:stretch>
          <a:fillRect/>
        </a:stretch>
      </xdr:blipFill>
      <xdr:spPr>
        <a:xfrm>
          <a:off x="78834615" y="24920575"/>
          <a:ext cx="560705" cy="894715"/>
        </a:xfrm>
        <a:prstGeom prst="rect">
          <a:avLst/>
        </a:prstGeom>
        <a:noFill/>
        <a:ln w="9525">
          <a:noFill/>
        </a:ln>
      </xdr:spPr>
    </xdr:pic>
  </etc:cellImage>
  <etc:cellImage>
    <xdr:pic>
      <xdr:nvPicPr>
        <xdr:cNvPr id="271" name="ID_3AB8FB5241834E0B8B39784607E66DFE"/>
        <xdr:cNvPicPr>
          <a:picLocks noChangeAspect="1"/>
        </xdr:cNvPicPr>
      </xdr:nvPicPr>
      <xdr:blipFill>
        <a:blip r:embed="rId305"/>
        <a:stretch>
          <a:fillRect/>
        </a:stretch>
      </xdr:blipFill>
      <xdr:spPr>
        <a:xfrm>
          <a:off x="78941295" y="40596820"/>
          <a:ext cx="570865" cy="800100"/>
        </a:xfrm>
        <a:prstGeom prst="rect">
          <a:avLst/>
        </a:prstGeom>
        <a:noFill/>
        <a:ln w="9525">
          <a:noFill/>
        </a:ln>
      </xdr:spPr>
    </xdr:pic>
  </etc:cellImage>
  <etc:cellImage>
    <xdr:pic>
      <xdr:nvPicPr>
        <xdr:cNvPr id="273" name="ID_DC958E1C842D4AE3942CA51EEAB063DB"/>
        <xdr:cNvPicPr>
          <a:picLocks noChangeAspect="1"/>
        </xdr:cNvPicPr>
      </xdr:nvPicPr>
      <xdr:blipFill>
        <a:blip r:embed="rId306"/>
        <a:stretch>
          <a:fillRect/>
        </a:stretch>
      </xdr:blipFill>
      <xdr:spPr>
        <a:xfrm>
          <a:off x="78814295" y="42678350"/>
          <a:ext cx="617220" cy="1123315"/>
        </a:xfrm>
        <a:prstGeom prst="rect">
          <a:avLst/>
        </a:prstGeom>
        <a:noFill/>
        <a:ln w="9525">
          <a:noFill/>
        </a:ln>
      </xdr:spPr>
    </xdr:pic>
  </etc:cellImage>
  <etc:cellImage>
    <xdr:pic>
      <xdr:nvPicPr>
        <xdr:cNvPr id="177" name="ID_1227E4C7EA3E416B9EFD143E3E7C90BD"/>
        <xdr:cNvPicPr/>
      </xdr:nvPicPr>
      <xdr:blipFill>
        <a:blip r:embed="rId307"/>
        <a:stretch>
          <a:fillRect/>
        </a:stretch>
      </xdr:blipFill>
      <xdr:spPr>
        <a:xfrm>
          <a:off x="9248775" y="4010660"/>
          <a:ext cx="831850" cy="796925"/>
        </a:xfrm>
        <a:prstGeom prst="rect">
          <a:avLst/>
        </a:prstGeom>
      </xdr:spPr>
    </xdr:pic>
  </etc:cellImage>
  <etc:cellImage>
    <xdr:pic>
      <xdr:nvPicPr>
        <xdr:cNvPr id="178" name="ID_D72899EFCD434F79944E14F6384AAE4A"/>
        <xdr:cNvPicPr/>
      </xdr:nvPicPr>
      <xdr:blipFill>
        <a:blip r:embed="rId308"/>
        <a:stretch>
          <a:fillRect/>
        </a:stretch>
      </xdr:blipFill>
      <xdr:spPr>
        <a:xfrm>
          <a:off x="9332595" y="38701345"/>
          <a:ext cx="1172210" cy="1070610"/>
        </a:xfrm>
        <a:prstGeom prst="rect">
          <a:avLst/>
        </a:prstGeom>
      </xdr:spPr>
    </xdr:pic>
  </etc:cellImage>
  <etc:cellImage>
    <xdr:pic>
      <xdr:nvPicPr>
        <xdr:cNvPr id="179" name="ID_C624589425E048A39183738E40D61F77"/>
        <xdr:cNvPicPr/>
      </xdr:nvPicPr>
      <xdr:blipFill>
        <a:blip r:embed="rId309"/>
        <a:stretch>
          <a:fillRect/>
        </a:stretch>
      </xdr:blipFill>
      <xdr:spPr>
        <a:xfrm>
          <a:off x="9376410" y="2004695"/>
          <a:ext cx="812165" cy="813435"/>
        </a:xfrm>
        <a:prstGeom prst="rect">
          <a:avLst/>
        </a:prstGeom>
      </xdr:spPr>
    </xdr:pic>
  </etc:cellImage>
  <etc:cellImage>
    <xdr:pic>
      <xdr:nvPicPr>
        <xdr:cNvPr id="180" name="ID_B69458E35A924AC3AB5FD26E2D1C55B9"/>
        <xdr:cNvPicPr/>
      </xdr:nvPicPr>
      <xdr:blipFill>
        <a:blip r:embed="rId310"/>
        <a:stretch>
          <a:fillRect/>
        </a:stretch>
      </xdr:blipFill>
      <xdr:spPr>
        <a:xfrm>
          <a:off x="9403080" y="39844345"/>
          <a:ext cx="789940" cy="632460"/>
        </a:xfrm>
        <a:prstGeom prst="rect">
          <a:avLst/>
        </a:prstGeom>
      </xdr:spPr>
    </xdr:pic>
  </etc:cellImage>
  <etc:cellImage>
    <xdr:pic>
      <xdr:nvPicPr>
        <xdr:cNvPr id="181" name="ID_04CF143C3F8E4A5CA5BD79906FB37F1D"/>
        <xdr:cNvPicPr/>
      </xdr:nvPicPr>
      <xdr:blipFill>
        <a:blip r:embed="rId311"/>
        <a:stretch>
          <a:fillRect/>
        </a:stretch>
      </xdr:blipFill>
      <xdr:spPr>
        <a:xfrm>
          <a:off x="9246235" y="1071245"/>
          <a:ext cx="1853565" cy="862965"/>
        </a:xfrm>
        <a:prstGeom prst="rect">
          <a:avLst/>
        </a:prstGeom>
      </xdr:spPr>
    </xdr:pic>
  </etc:cellImage>
  <etc:cellImage>
    <xdr:pic>
      <xdr:nvPicPr>
        <xdr:cNvPr id="182" name="ID_4BAB934F230946CD9BABEF27BA503FBB"/>
        <xdr:cNvPicPr/>
      </xdr:nvPicPr>
      <xdr:blipFill>
        <a:blip r:embed="rId312"/>
        <a:stretch>
          <a:fillRect/>
        </a:stretch>
      </xdr:blipFill>
      <xdr:spPr>
        <a:xfrm>
          <a:off x="9283700" y="3073400"/>
          <a:ext cx="765810" cy="730250"/>
        </a:xfrm>
        <a:prstGeom prst="rect">
          <a:avLst/>
        </a:prstGeom>
      </xdr:spPr>
    </xdr:pic>
  </etc:cellImage>
  <etc:cellImage>
    <xdr:pic>
      <xdr:nvPicPr>
        <xdr:cNvPr id="184" name="ID_B8C1B0B0E5E540F99019F5B5AE4F4D4C"/>
        <xdr:cNvPicPr/>
      </xdr:nvPicPr>
      <xdr:blipFill>
        <a:blip r:embed="rId313"/>
        <a:stretch>
          <a:fillRect/>
        </a:stretch>
      </xdr:blipFill>
      <xdr:spPr>
        <a:xfrm>
          <a:off x="9324340" y="7929880"/>
          <a:ext cx="898525" cy="900430"/>
        </a:xfrm>
        <a:prstGeom prst="rect">
          <a:avLst/>
        </a:prstGeom>
      </xdr:spPr>
    </xdr:pic>
  </etc:cellImage>
  <etc:cellImage>
    <xdr:pic>
      <xdr:nvPicPr>
        <xdr:cNvPr id="187" name="ID_D5C403E59255443EA8B2EC52F35F7B2D"/>
        <xdr:cNvPicPr/>
      </xdr:nvPicPr>
      <xdr:blipFill>
        <a:blip r:embed="rId314"/>
        <a:stretch>
          <a:fillRect/>
        </a:stretch>
      </xdr:blipFill>
      <xdr:spPr>
        <a:xfrm>
          <a:off x="9403080" y="42884090"/>
          <a:ext cx="1141730" cy="913765"/>
        </a:xfrm>
        <a:prstGeom prst="rect">
          <a:avLst/>
        </a:prstGeom>
      </xdr:spPr>
    </xdr:pic>
  </etc:cellImage>
  <etc:cellImage>
    <xdr:pic>
      <xdr:nvPicPr>
        <xdr:cNvPr id="188" name="ID_DFF4C3EF219545749149EB0FF0C3399E"/>
        <xdr:cNvPicPr/>
      </xdr:nvPicPr>
      <xdr:blipFill>
        <a:blip r:embed="rId315"/>
        <a:stretch>
          <a:fillRect/>
        </a:stretch>
      </xdr:blipFill>
      <xdr:spPr>
        <a:xfrm>
          <a:off x="9702800" y="11952605"/>
          <a:ext cx="886460" cy="885825"/>
        </a:xfrm>
        <a:prstGeom prst="rect">
          <a:avLst/>
        </a:prstGeom>
      </xdr:spPr>
    </xdr:pic>
  </etc:cellImage>
  <etc:cellImage>
    <xdr:pic>
      <xdr:nvPicPr>
        <xdr:cNvPr id="189" name="ID_B3C57269FCEA4AF691A551DEA5EF5014"/>
        <xdr:cNvPicPr/>
      </xdr:nvPicPr>
      <xdr:blipFill>
        <a:blip r:embed="rId316"/>
        <a:stretch>
          <a:fillRect/>
        </a:stretch>
      </xdr:blipFill>
      <xdr:spPr>
        <a:xfrm>
          <a:off x="9116695" y="12825730"/>
          <a:ext cx="1040765" cy="1052195"/>
        </a:xfrm>
        <a:prstGeom prst="rect">
          <a:avLst/>
        </a:prstGeom>
      </xdr:spPr>
    </xdr:pic>
  </etc:cellImage>
  <etc:cellImage>
    <xdr:pic>
      <xdr:nvPicPr>
        <xdr:cNvPr id="190" name="ID_EBA7E236FE30410E93D9CBF33B29189F"/>
        <xdr:cNvPicPr/>
      </xdr:nvPicPr>
      <xdr:blipFill>
        <a:blip r:embed="rId317"/>
        <a:stretch>
          <a:fillRect/>
        </a:stretch>
      </xdr:blipFill>
      <xdr:spPr>
        <a:xfrm>
          <a:off x="9161780" y="15017115"/>
          <a:ext cx="1035685" cy="933450"/>
        </a:xfrm>
        <a:prstGeom prst="rect">
          <a:avLst/>
        </a:prstGeom>
      </xdr:spPr>
    </xdr:pic>
  </etc:cellImage>
  <etc:cellImage>
    <xdr:pic>
      <xdr:nvPicPr>
        <xdr:cNvPr id="191" name="ID_6B52B926BB1E451C8BF9EB484E6B1E40"/>
        <xdr:cNvPicPr/>
      </xdr:nvPicPr>
      <xdr:blipFill>
        <a:blip r:embed="rId318"/>
        <a:stretch>
          <a:fillRect/>
        </a:stretch>
      </xdr:blipFill>
      <xdr:spPr>
        <a:xfrm>
          <a:off x="9152890" y="17087215"/>
          <a:ext cx="897890" cy="1063625"/>
        </a:xfrm>
        <a:prstGeom prst="rect">
          <a:avLst/>
        </a:prstGeom>
      </xdr:spPr>
    </xdr:pic>
  </etc:cellImage>
  <etc:cellImage>
    <xdr:pic>
      <xdr:nvPicPr>
        <xdr:cNvPr id="193" name="ID_932A724A47474AC3A0939B8128FAD826"/>
        <xdr:cNvPicPr/>
      </xdr:nvPicPr>
      <xdr:blipFill>
        <a:blip r:embed="rId319"/>
        <a:stretch>
          <a:fillRect/>
        </a:stretch>
      </xdr:blipFill>
      <xdr:spPr>
        <a:xfrm>
          <a:off x="9107805" y="19224625"/>
          <a:ext cx="1285240" cy="1029970"/>
        </a:xfrm>
        <a:prstGeom prst="rect">
          <a:avLst/>
        </a:prstGeom>
      </xdr:spPr>
    </xdr:pic>
  </etc:cellImage>
  <etc:cellImage>
    <xdr:pic>
      <xdr:nvPicPr>
        <xdr:cNvPr id="194" name="ID_8FA6EE5EE82148DDA19578808D78BC74"/>
        <xdr:cNvPicPr/>
      </xdr:nvPicPr>
      <xdr:blipFill>
        <a:blip r:embed="rId320"/>
        <a:stretch>
          <a:fillRect/>
        </a:stretch>
      </xdr:blipFill>
      <xdr:spPr>
        <a:xfrm>
          <a:off x="9178290" y="20354925"/>
          <a:ext cx="1473200" cy="1029335"/>
        </a:xfrm>
        <a:prstGeom prst="rect">
          <a:avLst/>
        </a:prstGeom>
      </xdr:spPr>
    </xdr:pic>
  </etc:cellImage>
  <etc:cellImage>
    <xdr:pic>
      <xdr:nvPicPr>
        <xdr:cNvPr id="195" name="ID_56A1EBFA3EEB4254809EE541A41DC5EF"/>
        <xdr:cNvPicPr/>
      </xdr:nvPicPr>
      <xdr:blipFill>
        <a:blip r:embed="rId321"/>
        <a:stretch>
          <a:fillRect/>
        </a:stretch>
      </xdr:blipFill>
      <xdr:spPr>
        <a:xfrm>
          <a:off x="9076055" y="29920565"/>
          <a:ext cx="1030605" cy="1041400"/>
        </a:xfrm>
        <a:prstGeom prst="rect">
          <a:avLst/>
        </a:prstGeom>
      </xdr:spPr>
    </xdr:pic>
  </etc:cellImage>
  <etc:cellImage>
    <xdr:pic>
      <xdr:nvPicPr>
        <xdr:cNvPr id="196" name="ID_5458E2A12057408EB5A1C2E6FF5315BC"/>
        <xdr:cNvPicPr/>
      </xdr:nvPicPr>
      <xdr:blipFill>
        <a:blip r:embed="rId322"/>
        <a:stretch>
          <a:fillRect/>
        </a:stretch>
      </xdr:blipFill>
      <xdr:spPr>
        <a:xfrm>
          <a:off x="9091930" y="31005145"/>
          <a:ext cx="1161415" cy="1174115"/>
        </a:xfrm>
        <a:prstGeom prst="rect">
          <a:avLst/>
        </a:prstGeom>
      </xdr:spPr>
    </xdr:pic>
  </etc:cellImage>
  <etc:cellImage>
    <xdr:pic>
      <xdr:nvPicPr>
        <xdr:cNvPr id="197" name="ID_47FCBD4BE041456DAECEF5CCDC438514"/>
        <xdr:cNvPicPr/>
      </xdr:nvPicPr>
      <xdr:blipFill>
        <a:blip r:embed="rId323"/>
        <a:stretch>
          <a:fillRect/>
        </a:stretch>
      </xdr:blipFill>
      <xdr:spPr>
        <a:xfrm>
          <a:off x="9225280" y="32290385"/>
          <a:ext cx="1103630" cy="736600"/>
        </a:xfrm>
        <a:prstGeom prst="rect">
          <a:avLst/>
        </a:prstGeom>
      </xdr:spPr>
    </xdr:pic>
  </etc:cellImage>
  <etc:cellImage>
    <xdr:pic>
      <xdr:nvPicPr>
        <xdr:cNvPr id="198" name="ID_8AF4BAE73B124929B87C35BFA88BC8CC"/>
        <xdr:cNvPicPr/>
      </xdr:nvPicPr>
      <xdr:blipFill>
        <a:blip r:embed="rId324"/>
        <a:stretch>
          <a:fillRect/>
        </a:stretch>
      </xdr:blipFill>
      <xdr:spPr>
        <a:xfrm>
          <a:off x="9348470" y="41309290"/>
          <a:ext cx="785495" cy="628650"/>
        </a:xfrm>
        <a:prstGeom prst="rect">
          <a:avLst/>
        </a:prstGeom>
      </xdr:spPr>
    </xdr:pic>
  </etc:cellImage>
  <etc:cellImage>
    <xdr:pic>
      <xdr:nvPicPr>
        <xdr:cNvPr id="199" name="ID_07F8846F390F453BBFBED6C87461CA26"/>
        <xdr:cNvPicPr/>
      </xdr:nvPicPr>
      <xdr:blipFill>
        <a:blip r:embed="rId325"/>
        <a:stretch>
          <a:fillRect/>
        </a:stretch>
      </xdr:blipFill>
      <xdr:spPr>
        <a:xfrm>
          <a:off x="9108440" y="33176210"/>
          <a:ext cx="1397000" cy="908685"/>
        </a:xfrm>
        <a:prstGeom prst="rect">
          <a:avLst/>
        </a:prstGeom>
      </xdr:spPr>
    </xdr:pic>
  </etc:cellImage>
  <etc:cellImage>
    <xdr:pic>
      <xdr:nvPicPr>
        <xdr:cNvPr id="200" name="ID_811B5542100C4EA096202D77985F823D"/>
        <xdr:cNvPicPr/>
      </xdr:nvPicPr>
      <xdr:blipFill>
        <a:blip r:embed="rId326"/>
        <a:stretch>
          <a:fillRect/>
        </a:stretch>
      </xdr:blipFill>
      <xdr:spPr>
        <a:xfrm flipV="1">
          <a:off x="9264015" y="36383595"/>
          <a:ext cx="816610" cy="825500"/>
        </a:xfrm>
        <a:prstGeom prst="rect">
          <a:avLst/>
        </a:prstGeom>
      </xdr:spPr>
    </xdr:pic>
  </etc:cellImage>
  <etc:cellImage>
    <xdr:pic>
      <xdr:nvPicPr>
        <xdr:cNvPr id="201" name="ID_A22558F3CCF1435C961CF3DA6D3EFAD5"/>
        <xdr:cNvPicPr/>
      </xdr:nvPicPr>
      <xdr:blipFill>
        <a:blip r:embed="rId327"/>
        <a:stretch>
          <a:fillRect/>
        </a:stretch>
      </xdr:blipFill>
      <xdr:spPr>
        <a:xfrm>
          <a:off x="9512300" y="40566975"/>
          <a:ext cx="725170" cy="580390"/>
        </a:xfrm>
        <a:prstGeom prst="rect">
          <a:avLst/>
        </a:prstGeom>
      </xdr:spPr>
    </xdr:pic>
  </etc:cellImage>
  <etc:cellImage>
    <xdr:pic>
      <xdr:nvPicPr>
        <xdr:cNvPr id="206" name="ID_49F90250D6674F20922891C66653DEAE"/>
        <xdr:cNvPicPr/>
      </xdr:nvPicPr>
      <xdr:blipFill>
        <a:blip r:embed="rId328"/>
        <a:stretch>
          <a:fillRect/>
        </a:stretch>
      </xdr:blipFill>
      <xdr:spPr>
        <a:xfrm>
          <a:off x="9566910" y="44046775"/>
          <a:ext cx="1222375" cy="930275"/>
        </a:xfrm>
        <a:prstGeom prst="rect">
          <a:avLst/>
        </a:prstGeom>
      </xdr:spPr>
    </xdr:pic>
  </etc:cellImage>
  <etc:cellImage>
    <xdr:pic>
      <xdr:nvPicPr>
        <xdr:cNvPr id="213" name="ID_6D70448CEE1342E0A46E292C02D76D39"/>
        <xdr:cNvPicPr/>
      </xdr:nvPicPr>
      <xdr:blipFill>
        <a:blip r:embed="rId329"/>
        <a:stretch>
          <a:fillRect/>
        </a:stretch>
      </xdr:blipFill>
      <xdr:spPr>
        <a:xfrm>
          <a:off x="9311640" y="45039915"/>
          <a:ext cx="1226185" cy="934720"/>
        </a:xfrm>
        <a:prstGeom prst="rect">
          <a:avLst/>
        </a:prstGeom>
      </xdr:spPr>
    </xdr:pic>
  </etc:cellImage>
  <etc:cellImage>
    <xdr:pic>
      <xdr:nvPicPr>
        <xdr:cNvPr id="229" name="ID_45506C023A664AC184B6082736C67F7E"/>
        <xdr:cNvPicPr/>
      </xdr:nvPicPr>
      <xdr:blipFill>
        <a:blip r:embed="rId330"/>
        <a:stretch>
          <a:fillRect/>
        </a:stretch>
      </xdr:blipFill>
      <xdr:spPr>
        <a:xfrm>
          <a:off x="9430385" y="46417230"/>
          <a:ext cx="1320800" cy="832485"/>
        </a:xfrm>
        <a:prstGeom prst="rect">
          <a:avLst/>
        </a:prstGeom>
      </xdr:spPr>
    </xdr:pic>
  </etc:cellImage>
  <etc:cellImage>
    <xdr:pic>
      <xdr:nvPicPr>
        <xdr:cNvPr id="280" name="ID_B4F73605BC064E7FB5A63455B09E9654"/>
        <xdr:cNvPicPr>
          <a:picLocks noChangeAspect="1"/>
        </xdr:cNvPicPr>
      </xdr:nvPicPr>
      <xdr:blipFill>
        <a:blip r:embed="rId331"/>
        <a:stretch>
          <a:fillRect/>
        </a:stretch>
      </xdr:blipFill>
      <xdr:spPr>
        <a:xfrm>
          <a:off x="85855175" y="19375755"/>
          <a:ext cx="901065" cy="655955"/>
        </a:xfrm>
        <a:prstGeom prst="rect">
          <a:avLst/>
        </a:prstGeom>
        <a:noFill/>
        <a:ln w="9525">
          <a:noFill/>
        </a:ln>
      </xdr:spPr>
    </xdr:pic>
  </etc:cellImage>
  <etc:cellImage>
    <xdr:pic>
      <xdr:nvPicPr>
        <xdr:cNvPr id="281" name="ID_33877954DBB0413EB7F9DA30877BAEA0"/>
        <xdr:cNvPicPr>
          <a:picLocks noChangeAspect="1"/>
        </xdr:cNvPicPr>
      </xdr:nvPicPr>
      <xdr:blipFill>
        <a:blip r:embed="rId332"/>
        <a:stretch>
          <a:fillRect/>
        </a:stretch>
      </xdr:blipFill>
      <xdr:spPr>
        <a:xfrm>
          <a:off x="85845015" y="15253335"/>
          <a:ext cx="873760" cy="683895"/>
        </a:xfrm>
        <a:prstGeom prst="rect">
          <a:avLst/>
        </a:prstGeom>
        <a:noFill/>
        <a:ln w="9525">
          <a:noFill/>
        </a:ln>
      </xdr:spPr>
    </xdr:pic>
  </etc:cellImage>
  <etc:cellImage>
    <xdr:pic>
      <xdr:nvPicPr>
        <xdr:cNvPr id="279" name="ID_77D9282D3CE54289AD7F1C10F8E1594F"/>
        <xdr:cNvPicPr>
          <a:picLocks noChangeAspect="1"/>
        </xdr:cNvPicPr>
      </xdr:nvPicPr>
      <xdr:blipFill>
        <a:blip r:embed="rId333"/>
        <a:stretch>
          <a:fillRect/>
        </a:stretch>
      </xdr:blipFill>
      <xdr:spPr>
        <a:xfrm>
          <a:off x="85845015" y="8368665"/>
          <a:ext cx="514350" cy="459740"/>
        </a:xfrm>
        <a:prstGeom prst="rect">
          <a:avLst/>
        </a:prstGeom>
        <a:noFill/>
        <a:ln w="9525">
          <a:noFill/>
        </a:ln>
      </xdr:spPr>
    </xdr:pic>
  </etc:cellImage>
  <etc:cellImage>
    <xdr:pic>
      <xdr:nvPicPr>
        <xdr:cNvPr id="234" name="ID_9B63ACD28DCA42CDB1FA830806CECACA" descr="8451733208923_.pic_hd"/>
        <xdr:cNvPicPr>
          <a:picLocks noChangeAspect="1"/>
        </xdr:cNvPicPr>
      </xdr:nvPicPr>
      <xdr:blipFill>
        <a:blip r:embed="rId334"/>
        <a:stretch>
          <a:fillRect/>
        </a:stretch>
      </xdr:blipFill>
      <xdr:spPr>
        <a:xfrm>
          <a:off x="7705725" y="1120140"/>
          <a:ext cx="930275" cy="1118235"/>
        </a:xfrm>
        <a:prstGeom prst="rect">
          <a:avLst/>
        </a:prstGeom>
      </xdr:spPr>
    </xdr:pic>
  </etc:cellImage>
  <etc:cellImage>
    <xdr:pic>
      <xdr:nvPicPr>
        <xdr:cNvPr id="236" name="ID_9FD4222E4C4645BD8EF67E0233AC2DD4"/>
        <xdr:cNvPicPr>
          <a:picLocks noChangeAspect="1"/>
        </xdr:cNvPicPr>
      </xdr:nvPicPr>
      <xdr:blipFill>
        <a:blip r:embed="rId335"/>
        <a:stretch>
          <a:fillRect/>
        </a:stretch>
      </xdr:blipFill>
      <xdr:spPr>
        <a:xfrm>
          <a:off x="7630795" y="10454640"/>
          <a:ext cx="1050290" cy="1388110"/>
        </a:xfrm>
        <a:prstGeom prst="rect">
          <a:avLst/>
        </a:prstGeom>
        <a:noFill/>
        <a:ln w="9525">
          <a:noFill/>
        </a:ln>
      </xdr:spPr>
    </xdr:pic>
  </etc:cellImage>
  <etc:cellImage>
    <xdr:pic>
      <xdr:nvPicPr>
        <xdr:cNvPr id="837" name="ID_48A3557C61994DFC8DCC12D89F69BB58" descr="1181742786874_.pic"/>
        <xdr:cNvPicPr>
          <a:picLocks noChangeAspect="1"/>
        </xdr:cNvPicPr>
      </xdr:nvPicPr>
      <xdr:blipFill>
        <a:blip r:embed="rId336"/>
        <a:stretch>
          <a:fillRect/>
        </a:stretch>
      </xdr:blipFill>
      <xdr:spPr>
        <a:xfrm>
          <a:off x="5513705" y="9977120"/>
          <a:ext cx="788035" cy="816610"/>
        </a:xfrm>
        <a:prstGeom prst="rect">
          <a:avLst/>
        </a:prstGeom>
      </xdr:spPr>
    </xdr:pic>
  </etc:cellImage>
  <etc:cellImage>
    <xdr:pic>
      <xdr:nvPicPr>
        <xdr:cNvPr id="237" name="ID_02C8672C79F14EC6B111690ECE460221" descr="8461733209568_.pic_hd"/>
        <xdr:cNvPicPr>
          <a:picLocks noChangeAspect="1"/>
        </xdr:cNvPicPr>
      </xdr:nvPicPr>
      <xdr:blipFill>
        <a:blip r:embed="rId337"/>
        <a:stretch>
          <a:fillRect/>
        </a:stretch>
      </xdr:blipFill>
      <xdr:spPr>
        <a:xfrm>
          <a:off x="7633970" y="2372360"/>
          <a:ext cx="937895" cy="1100455"/>
        </a:xfrm>
        <a:prstGeom prst="rect">
          <a:avLst/>
        </a:prstGeom>
      </xdr:spPr>
    </xdr:pic>
  </etc:cellImage>
  <etc:cellImage>
    <xdr:pic>
      <xdr:nvPicPr>
        <xdr:cNvPr id="238" name="ID_F1B08C6D1C214D6FA098C7467EDBBD17" descr="1331742803894_.pic_hd"/>
        <xdr:cNvPicPr>
          <a:picLocks noChangeAspect="1"/>
        </xdr:cNvPicPr>
      </xdr:nvPicPr>
      <xdr:blipFill>
        <a:blip r:embed="rId338"/>
        <a:srcRect l="14139"/>
        <a:stretch>
          <a:fillRect/>
        </a:stretch>
      </xdr:blipFill>
      <xdr:spPr>
        <a:xfrm>
          <a:off x="7352030" y="7882255"/>
          <a:ext cx="1700530" cy="1117600"/>
        </a:xfrm>
        <a:prstGeom prst="rect">
          <a:avLst/>
        </a:prstGeom>
      </xdr:spPr>
    </xdr:pic>
  </etc:cellImage>
  <etc:cellImage>
    <xdr:pic>
      <xdr:nvPicPr>
        <xdr:cNvPr id="239" name="ID_6CD7A6388DFF4303AE2EE3C2D7371D92"/>
        <xdr:cNvPicPr>
          <a:picLocks noChangeAspect="1"/>
        </xdr:cNvPicPr>
      </xdr:nvPicPr>
      <xdr:blipFill>
        <a:blip r:embed="rId339"/>
        <a:srcRect b="-2673"/>
        <a:stretch>
          <a:fillRect/>
        </a:stretch>
      </xdr:blipFill>
      <xdr:spPr>
        <a:xfrm>
          <a:off x="7627620" y="4877435"/>
          <a:ext cx="1158240" cy="1417955"/>
        </a:xfrm>
        <a:prstGeom prst="rect">
          <a:avLst/>
        </a:prstGeom>
        <a:noFill/>
        <a:ln w="9525">
          <a:noFill/>
        </a:ln>
      </xdr:spPr>
    </xdr:pic>
  </etc:cellImage>
  <etc:cellImage>
    <xdr:pic>
      <xdr:nvPicPr>
        <xdr:cNvPr id="300" name="ID_DD247BD353D044158A325845D81A65A4" descr="1391742805020_.pic_hd"/>
        <xdr:cNvPicPr>
          <a:picLocks noChangeAspect="1"/>
        </xdr:cNvPicPr>
      </xdr:nvPicPr>
      <xdr:blipFill>
        <a:blip r:embed="rId340"/>
        <a:stretch>
          <a:fillRect/>
        </a:stretch>
      </xdr:blipFill>
      <xdr:spPr>
        <a:xfrm>
          <a:off x="7577455" y="52252245"/>
          <a:ext cx="1179195" cy="1172210"/>
        </a:xfrm>
        <a:prstGeom prst="rect">
          <a:avLst/>
        </a:prstGeom>
      </xdr:spPr>
    </xdr:pic>
  </etc:cellImage>
  <etc:cellImage>
    <xdr:pic>
      <xdr:nvPicPr>
        <xdr:cNvPr id="240" name="ID_F47305B86B44474B88CB50C55F33FE6C" descr="8471733209655_.pic_hd"/>
        <xdr:cNvPicPr>
          <a:picLocks noChangeAspect="1"/>
        </xdr:cNvPicPr>
      </xdr:nvPicPr>
      <xdr:blipFill>
        <a:blip r:embed="rId341"/>
        <a:stretch>
          <a:fillRect/>
        </a:stretch>
      </xdr:blipFill>
      <xdr:spPr>
        <a:xfrm>
          <a:off x="7615555" y="3609975"/>
          <a:ext cx="906780" cy="1058545"/>
        </a:xfrm>
        <a:prstGeom prst="rect">
          <a:avLst/>
        </a:prstGeom>
      </xdr:spPr>
    </xdr:pic>
  </etc:cellImage>
  <etc:cellImage>
    <xdr:pic>
      <xdr:nvPicPr>
        <xdr:cNvPr id="284" name="ID_8A2E4CEA5FEF427D9E7526EDAF0F196B" descr="1101742785241_.pic"/>
        <xdr:cNvPicPr>
          <a:picLocks noChangeAspect="1"/>
        </xdr:cNvPicPr>
      </xdr:nvPicPr>
      <xdr:blipFill>
        <a:blip r:embed="rId342"/>
        <a:stretch>
          <a:fillRect/>
        </a:stretch>
      </xdr:blipFill>
      <xdr:spPr>
        <a:xfrm>
          <a:off x="7339330" y="17629505"/>
          <a:ext cx="1642110" cy="1022985"/>
        </a:xfrm>
        <a:prstGeom prst="rect">
          <a:avLst/>
        </a:prstGeom>
      </xdr:spPr>
    </xdr:pic>
  </etc:cellImage>
  <etc:cellImage>
    <xdr:pic>
      <xdr:nvPicPr>
        <xdr:cNvPr id="241" name="ID_96D06495F2014AE0870D57F57B270F63"/>
        <xdr:cNvPicPr>
          <a:picLocks noChangeAspect="1"/>
        </xdr:cNvPicPr>
      </xdr:nvPicPr>
      <xdr:blipFill>
        <a:blip r:embed="rId343"/>
        <a:stretch>
          <a:fillRect/>
        </a:stretch>
      </xdr:blipFill>
      <xdr:spPr>
        <a:xfrm>
          <a:off x="7673975" y="6391275"/>
          <a:ext cx="1042035" cy="1351280"/>
        </a:xfrm>
        <a:prstGeom prst="rect">
          <a:avLst/>
        </a:prstGeom>
        <a:noFill/>
        <a:ln w="9525">
          <a:noFill/>
        </a:ln>
      </xdr:spPr>
    </xdr:pic>
  </etc:cellImage>
  <etc:cellImage>
    <xdr:pic>
      <xdr:nvPicPr>
        <xdr:cNvPr id="243" name="ID_2A73FB0BFB684B51B9AE4F6C72DA3597"/>
        <xdr:cNvPicPr>
          <a:picLocks noChangeAspect="1"/>
        </xdr:cNvPicPr>
      </xdr:nvPicPr>
      <xdr:blipFill>
        <a:blip r:embed="rId344"/>
        <a:stretch>
          <a:fillRect/>
        </a:stretch>
      </xdr:blipFill>
      <xdr:spPr>
        <a:xfrm>
          <a:off x="7345680" y="9201785"/>
          <a:ext cx="1609090" cy="1118235"/>
        </a:xfrm>
        <a:prstGeom prst="rect">
          <a:avLst/>
        </a:prstGeom>
        <a:noFill/>
        <a:ln w="9525">
          <a:noFill/>
        </a:ln>
      </xdr:spPr>
    </xdr:pic>
  </etc:cellImage>
  <etc:cellImage>
    <xdr:pic>
      <xdr:nvPicPr>
        <xdr:cNvPr id="247" name="ID_E4FE348A4C2244638BF107A8796BAF68" descr="1131742786018_.pic"/>
        <xdr:cNvPicPr>
          <a:picLocks noChangeAspect="1"/>
        </xdr:cNvPicPr>
      </xdr:nvPicPr>
      <xdr:blipFill>
        <a:blip r:embed="rId345"/>
        <a:stretch>
          <a:fillRect/>
        </a:stretch>
      </xdr:blipFill>
      <xdr:spPr>
        <a:xfrm>
          <a:off x="7357745" y="12032615"/>
          <a:ext cx="1536065" cy="1188720"/>
        </a:xfrm>
        <a:prstGeom prst="rect">
          <a:avLst/>
        </a:prstGeom>
      </xdr:spPr>
    </xdr:pic>
  </etc:cellImage>
  <etc:cellImage>
    <xdr:pic>
      <xdr:nvPicPr>
        <xdr:cNvPr id="891" name="ID_D602E23072FE41C4ABE32B77DD8884EB" descr="1261742799454_.pic_hd"/>
        <xdr:cNvPicPr>
          <a:picLocks noChangeAspect="1"/>
        </xdr:cNvPicPr>
      </xdr:nvPicPr>
      <xdr:blipFill>
        <a:blip r:embed="rId346"/>
        <a:srcRect l="8498" t="14436" r="10047" b="37013"/>
        <a:stretch>
          <a:fillRect/>
        </a:stretch>
      </xdr:blipFill>
      <xdr:spPr>
        <a:xfrm>
          <a:off x="5481955" y="15812135"/>
          <a:ext cx="829310" cy="829310"/>
        </a:xfrm>
        <a:prstGeom prst="rect">
          <a:avLst/>
        </a:prstGeom>
      </xdr:spPr>
    </xdr:pic>
  </etc:cellImage>
  <etc:cellImage>
    <xdr:pic>
      <xdr:nvPicPr>
        <xdr:cNvPr id="250" name="ID_768CC9A2B1DA4938854D5227C9C3C878" descr="1081742784700_.pic"/>
        <xdr:cNvPicPr>
          <a:picLocks noChangeAspect="1"/>
        </xdr:cNvPicPr>
      </xdr:nvPicPr>
      <xdr:blipFill>
        <a:blip r:embed="rId347"/>
        <a:stretch>
          <a:fillRect/>
        </a:stretch>
      </xdr:blipFill>
      <xdr:spPr>
        <a:xfrm>
          <a:off x="7568565" y="13288645"/>
          <a:ext cx="1157605" cy="1276350"/>
        </a:xfrm>
        <a:prstGeom prst="rect">
          <a:avLst/>
        </a:prstGeom>
      </xdr:spPr>
    </xdr:pic>
  </etc:cellImage>
  <etc:cellImage>
    <xdr:pic>
      <xdr:nvPicPr>
        <xdr:cNvPr id="302" name="ID_36B59392AECA41B7A05A8DCA80A48043" descr="1091742784798_.pic"/>
        <xdr:cNvPicPr>
          <a:picLocks noChangeAspect="1"/>
        </xdr:cNvPicPr>
      </xdr:nvPicPr>
      <xdr:blipFill>
        <a:blip r:embed="rId348"/>
        <a:stretch>
          <a:fillRect/>
        </a:stretch>
      </xdr:blipFill>
      <xdr:spPr>
        <a:xfrm>
          <a:off x="21416010" y="8584565"/>
          <a:ext cx="502920" cy="572135"/>
        </a:xfrm>
        <a:prstGeom prst="rect">
          <a:avLst/>
        </a:prstGeom>
      </xdr:spPr>
    </xdr:pic>
  </etc:cellImage>
  <etc:cellImage>
    <xdr:pic>
      <xdr:nvPicPr>
        <xdr:cNvPr id="288" name="ID_B12933384FE748FD9B0A7931851559E7" descr="1201742786965_.pic"/>
        <xdr:cNvPicPr>
          <a:picLocks noChangeAspect="1"/>
        </xdr:cNvPicPr>
      </xdr:nvPicPr>
      <xdr:blipFill>
        <a:blip r:embed="rId349"/>
        <a:stretch>
          <a:fillRect/>
        </a:stretch>
      </xdr:blipFill>
      <xdr:spPr>
        <a:xfrm>
          <a:off x="7607935" y="26925905"/>
          <a:ext cx="1235710" cy="1240790"/>
        </a:xfrm>
        <a:prstGeom prst="rect">
          <a:avLst/>
        </a:prstGeom>
      </xdr:spPr>
    </xdr:pic>
  </etc:cellImage>
  <etc:cellImage>
    <xdr:pic>
      <xdr:nvPicPr>
        <xdr:cNvPr id="255" name="ID_05754326E8E64999BAE02EE268BA8721" descr="1121742785819_.pic"/>
        <xdr:cNvPicPr>
          <a:picLocks noChangeAspect="1"/>
        </xdr:cNvPicPr>
      </xdr:nvPicPr>
      <xdr:blipFill>
        <a:blip r:embed="rId350"/>
        <a:stretch>
          <a:fillRect/>
        </a:stretch>
      </xdr:blipFill>
      <xdr:spPr>
        <a:xfrm>
          <a:off x="7505700" y="18772505"/>
          <a:ext cx="1331595" cy="1191895"/>
        </a:xfrm>
        <a:prstGeom prst="rect">
          <a:avLst/>
        </a:prstGeom>
      </xdr:spPr>
    </xdr:pic>
  </etc:cellImage>
  <etc:cellImage>
    <xdr:pic>
      <xdr:nvPicPr>
        <xdr:cNvPr id="285" name="ID_57C9CD7B53B84E55B532F438907B040B" descr="1151742786381_.pic"/>
        <xdr:cNvPicPr>
          <a:picLocks noChangeAspect="1"/>
        </xdr:cNvPicPr>
      </xdr:nvPicPr>
      <xdr:blipFill>
        <a:blip r:embed="rId351"/>
        <a:stretch>
          <a:fillRect/>
        </a:stretch>
      </xdr:blipFill>
      <xdr:spPr>
        <a:xfrm>
          <a:off x="7498715" y="21665565"/>
          <a:ext cx="1444625" cy="1189990"/>
        </a:xfrm>
        <a:prstGeom prst="rect">
          <a:avLst/>
        </a:prstGeom>
      </xdr:spPr>
    </xdr:pic>
  </etc:cellImage>
  <etc:cellImage>
    <xdr:pic>
      <xdr:nvPicPr>
        <xdr:cNvPr id="256" name="ID_D96609CF886C455F9470C91A1D6F8049" descr="1141742786139_.pic"/>
        <xdr:cNvPicPr>
          <a:picLocks noChangeAspect="1"/>
        </xdr:cNvPicPr>
      </xdr:nvPicPr>
      <xdr:blipFill>
        <a:blip r:embed="rId352"/>
        <a:stretch>
          <a:fillRect/>
        </a:stretch>
      </xdr:blipFill>
      <xdr:spPr>
        <a:xfrm>
          <a:off x="7659370" y="20157440"/>
          <a:ext cx="1109345" cy="1356995"/>
        </a:xfrm>
        <a:prstGeom prst="rect">
          <a:avLst/>
        </a:prstGeom>
      </xdr:spPr>
    </xdr:pic>
  </etc:cellImage>
  <etc:cellImage>
    <xdr:pic>
      <xdr:nvPicPr>
        <xdr:cNvPr id="283" name="ID_8235BDA9FAD54CEA9AE17ED82FDAAAA5" descr="1161742786644_.pic"/>
        <xdr:cNvPicPr>
          <a:picLocks noChangeAspect="1"/>
        </xdr:cNvPicPr>
      </xdr:nvPicPr>
      <xdr:blipFill>
        <a:blip r:embed="rId353"/>
        <a:stretch>
          <a:fillRect/>
        </a:stretch>
      </xdr:blipFill>
      <xdr:spPr>
        <a:xfrm>
          <a:off x="7654290" y="23008590"/>
          <a:ext cx="1108075" cy="1066800"/>
        </a:xfrm>
        <a:prstGeom prst="rect">
          <a:avLst/>
        </a:prstGeom>
      </xdr:spPr>
    </xdr:pic>
  </etc:cellImage>
  <etc:cellImage>
    <xdr:pic>
      <xdr:nvPicPr>
        <xdr:cNvPr id="286" name="ID_E729EABC4AC7482CA107403AC7B7D7C2" descr="1171742786653_.pic"/>
        <xdr:cNvPicPr>
          <a:picLocks noChangeAspect="1"/>
        </xdr:cNvPicPr>
      </xdr:nvPicPr>
      <xdr:blipFill>
        <a:blip r:embed="rId354"/>
        <a:stretch>
          <a:fillRect/>
        </a:stretch>
      </xdr:blipFill>
      <xdr:spPr>
        <a:xfrm>
          <a:off x="7710805" y="24255730"/>
          <a:ext cx="941070" cy="1188720"/>
        </a:xfrm>
        <a:prstGeom prst="rect">
          <a:avLst/>
        </a:prstGeom>
      </xdr:spPr>
    </xdr:pic>
  </etc:cellImage>
  <etc:cellImage>
    <xdr:pic>
      <xdr:nvPicPr>
        <xdr:cNvPr id="287" name="ID_5A60B821D70A48E0A042B2534A63CAE9" descr="1191742786917_.pic"/>
        <xdr:cNvPicPr>
          <a:picLocks noChangeAspect="1"/>
        </xdr:cNvPicPr>
      </xdr:nvPicPr>
      <xdr:blipFill>
        <a:blip r:embed="rId355"/>
        <a:stretch>
          <a:fillRect/>
        </a:stretch>
      </xdr:blipFill>
      <xdr:spPr>
        <a:xfrm>
          <a:off x="7694930" y="25634950"/>
          <a:ext cx="1020445" cy="1230630"/>
        </a:xfrm>
        <a:prstGeom prst="rect">
          <a:avLst/>
        </a:prstGeom>
      </xdr:spPr>
    </xdr:pic>
  </etc:cellImage>
  <etc:cellImage>
    <xdr:pic>
      <xdr:nvPicPr>
        <xdr:cNvPr id="291" name="ID_2829EA5B09A64608AB56086DE01C2A1E" descr="1231742787942_.pic"/>
        <xdr:cNvPicPr>
          <a:picLocks noChangeAspect="1"/>
        </xdr:cNvPicPr>
      </xdr:nvPicPr>
      <xdr:blipFill>
        <a:blip r:embed="rId356"/>
        <a:stretch>
          <a:fillRect/>
        </a:stretch>
      </xdr:blipFill>
      <xdr:spPr>
        <a:xfrm>
          <a:off x="7304405" y="31167705"/>
          <a:ext cx="1662430" cy="1184275"/>
        </a:xfrm>
        <a:prstGeom prst="rect">
          <a:avLst/>
        </a:prstGeom>
      </xdr:spPr>
    </xdr:pic>
  </etc:cellImage>
  <etc:cellImage>
    <xdr:pic>
      <xdr:nvPicPr>
        <xdr:cNvPr id="292" name="ID_E48FB73A7DA64BB18745DE16DD68D5E9" descr="1241742798384_.pic_hd"/>
        <xdr:cNvPicPr>
          <a:picLocks noChangeAspect="1"/>
        </xdr:cNvPicPr>
      </xdr:nvPicPr>
      <xdr:blipFill>
        <a:blip r:embed="rId357"/>
        <a:srcRect l="8006" t="13491" r="8452" b="36326"/>
        <a:stretch>
          <a:fillRect/>
        </a:stretch>
      </xdr:blipFill>
      <xdr:spPr>
        <a:xfrm>
          <a:off x="7560945" y="32467550"/>
          <a:ext cx="1157605" cy="1169035"/>
        </a:xfrm>
        <a:prstGeom prst="rect">
          <a:avLst/>
        </a:prstGeom>
      </xdr:spPr>
    </xdr:pic>
  </etc:cellImage>
  <etc:cellImage>
    <xdr:pic>
      <xdr:nvPicPr>
        <xdr:cNvPr id="896" name="ID_E942B2E5019C4F1DAD94D8D730626945" descr="1411742805581_.pic"/>
        <xdr:cNvPicPr>
          <a:picLocks noChangeAspect="1"/>
        </xdr:cNvPicPr>
      </xdr:nvPicPr>
      <xdr:blipFill>
        <a:blip r:embed="rId358"/>
        <a:stretch>
          <a:fillRect/>
        </a:stretch>
      </xdr:blipFill>
      <xdr:spPr>
        <a:xfrm>
          <a:off x="5926455" y="20180300"/>
          <a:ext cx="814070" cy="800100"/>
        </a:xfrm>
        <a:prstGeom prst="rect">
          <a:avLst/>
        </a:prstGeom>
      </xdr:spPr>
    </xdr:pic>
  </etc:cellImage>
  <etc:cellImage>
    <xdr:pic>
      <xdr:nvPicPr>
        <xdr:cNvPr id="293" name="ID_B354F748A17D4C47BE791F228D8AD583" descr="1271742799455_.pic_hd"/>
        <xdr:cNvPicPr>
          <a:picLocks noChangeAspect="1"/>
        </xdr:cNvPicPr>
      </xdr:nvPicPr>
      <xdr:blipFill>
        <a:blip r:embed="rId359"/>
        <a:srcRect l="9479" t="14616" r="11769" b="36586"/>
        <a:stretch>
          <a:fillRect/>
        </a:stretch>
      </xdr:blipFill>
      <xdr:spPr>
        <a:xfrm>
          <a:off x="7587615" y="34958020"/>
          <a:ext cx="1231265" cy="1287145"/>
        </a:xfrm>
        <a:prstGeom prst="rect">
          <a:avLst/>
        </a:prstGeom>
      </xdr:spPr>
    </xdr:pic>
  </etc:cellImage>
  <etc:cellImage>
    <xdr:pic>
      <xdr:nvPicPr>
        <xdr:cNvPr id="257" name="ID_83907B8A53EF4DCD97FAC44A6FD0DC27" descr="1291742803891_.pic_hd"/>
        <xdr:cNvPicPr>
          <a:picLocks noChangeAspect="1"/>
        </xdr:cNvPicPr>
      </xdr:nvPicPr>
      <xdr:blipFill>
        <a:blip r:embed="rId360"/>
        <a:srcRect t="12646" b="17728"/>
        <a:stretch>
          <a:fillRect/>
        </a:stretch>
      </xdr:blipFill>
      <xdr:spPr>
        <a:xfrm>
          <a:off x="7543800" y="36372165"/>
          <a:ext cx="1209675" cy="1121410"/>
        </a:xfrm>
        <a:prstGeom prst="rect">
          <a:avLst/>
        </a:prstGeom>
      </xdr:spPr>
    </xdr:pic>
  </etc:cellImage>
  <etc:cellImage>
    <xdr:pic>
      <xdr:nvPicPr>
        <xdr:cNvPr id="294" name="ID_838AEB0DF30A4E9BBDDA1424C870D53D" descr="1301742803892_.pic_hd"/>
        <xdr:cNvPicPr>
          <a:picLocks noChangeAspect="1"/>
        </xdr:cNvPicPr>
      </xdr:nvPicPr>
      <xdr:blipFill>
        <a:blip r:embed="rId361"/>
        <a:srcRect t="927" b="21374"/>
        <a:stretch>
          <a:fillRect/>
        </a:stretch>
      </xdr:blipFill>
      <xdr:spPr>
        <a:xfrm>
          <a:off x="7523480" y="37667565"/>
          <a:ext cx="1289685" cy="1299210"/>
        </a:xfrm>
        <a:prstGeom prst="rect">
          <a:avLst/>
        </a:prstGeom>
      </xdr:spPr>
    </xdr:pic>
  </etc:cellImage>
  <etc:cellImage>
    <xdr:pic>
      <xdr:nvPicPr>
        <xdr:cNvPr id="295" name="ID_C795858507494C2AB594EA8E0CF3967A" descr="1311742803892_.pic_hd"/>
        <xdr:cNvPicPr>
          <a:picLocks noChangeAspect="1"/>
        </xdr:cNvPicPr>
      </xdr:nvPicPr>
      <xdr:blipFill>
        <a:blip r:embed="rId362"/>
        <a:srcRect t="16562" b="17774"/>
        <a:stretch>
          <a:fillRect/>
        </a:stretch>
      </xdr:blipFill>
      <xdr:spPr>
        <a:xfrm>
          <a:off x="7470775" y="39150290"/>
          <a:ext cx="1320800" cy="1152525"/>
        </a:xfrm>
        <a:prstGeom prst="rect">
          <a:avLst/>
        </a:prstGeom>
      </xdr:spPr>
    </xdr:pic>
  </etc:cellImage>
  <etc:cellImage>
    <xdr:pic>
      <xdr:nvPicPr>
        <xdr:cNvPr id="258" name="ID_60AF4A9729CD4E338825DE37EA5F34A1" descr="1321742803893_.pic_hd"/>
        <xdr:cNvPicPr>
          <a:picLocks noChangeAspect="1"/>
        </xdr:cNvPicPr>
      </xdr:nvPicPr>
      <xdr:blipFill>
        <a:blip r:embed="rId363"/>
        <a:srcRect l="8975" t="13967" r="8959" b="37680"/>
        <a:stretch>
          <a:fillRect/>
        </a:stretch>
      </xdr:blipFill>
      <xdr:spPr>
        <a:xfrm>
          <a:off x="7466330" y="40469820"/>
          <a:ext cx="1322070" cy="1308735"/>
        </a:xfrm>
        <a:prstGeom prst="rect">
          <a:avLst/>
        </a:prstGeom>
      </xdr:spPr>
    </xdr:pic>
  </etc:cellImage>
  <etc:cellImage>
    <xdr:pic>
      <xdr:nvPicPr>
        <xdr:cNvPr id="296" name="ID_565AC72F961047CD89681A6C1E78CEAA" descr="1281742799456_.pic_hd"/>
        <xdr:cNvPicPr>
          <a:picLocks noChangeAspect="1"/>
        </xdr:cNvPicPr>
      </xdr:nvPicPr>
      <xdr:blipFill>
        <a:blip r:embed="rId364"/>
        <a:srcRect t="11347" r="2138" b="463"/>
        <a:stretch>
          <a:fillRect/>
        </a:stretch>
      </xdr:blipFill>
      <xdr:spPr>
        <a:xfrm>
          <a:off x="7611745" y="41962705"/>
          <a:ext cx="1160145" cy="1392555"/>
        </a:xfrm>
        <a:prstGeom prst="rect">
          <a:avLst/>
        </a:prstGeom>
      </xdr:spPr>
    </xdr:pic>
  </etc:cellImage>
  <etc:cellImage>
    <xdr:pic>
      <xdr:nvPicPr>
        <xdr:cNvPr id="297" name="ID_2A330D66DF784A4FBFC1B92063F1F09C" descr="1341742804430_.pic_hd"/>
        <xdr:cNvPicPr>
          <a:picLocks noChangeAspect="1"/>
        </xdr:cNvPicPr>
      </xdr:nvPicPr>
      <xdr:blipFill>
        <a:blip r:embed="rId365"/>
        <a:stretch>
          <a:fillRect/>
        </a:stretch>
      </xdr:blipFill>
      <xdr:spPr>
        <a:xfrm>
          <a:off x="7603490" y="43511470"/>
          <a:ext cx="1050925" cy="1629410"/>
        </a:xfrm>
        <a:prstGeom prst="rect">
          <a:avLst/>
        </a:prstGeom>
      </xdr:spPr>
    </xdr:pic>
  </etc:cellImage>
  <etc:cellImage>
    <xdr:pic>
      <xdr:nvPicPr>
        <xdr:cNvPr id="298" name="ID_1369981435674F24B2DC18FEA6C6268F" descr="1351742804431_.pic_hd"/>
        <xdr:cNvPicPr>
          <a:picLocks noChangeAspect="1"/>
        </xdr:cNvPicPr>
      </xdr:nvPicPr>
      <xdr:blipFill>
        <a:blip r:embed="rId366"/>
        <a:stretch>
          <a:fillRect/>
        </a:stretch>
      </xdr:blipFill>
      <xdr:spPr>
        <a:xfrm>
          <a:off x="7409180" y="45366940"/>
          <a:ext cx="1328420" cy="1317625"/>
        </a:xfrm>
        <a:prstGeom prst="rect">
          <a:avLst/>
        </a:prstGeom>
      </xdr:spPr>
    </xdr:pic>
  </etc:cellImage>
  <etc:cellImage>
    <xdr:pic>
      <xdr:nvPicPr>
        <xdr:cNvPr id="259" name="ID_11DEC0FA922D4FC5A752577B8873B921" descr="1361742804431_.pic_hd"/>
        <xdr:cNvPicPr>
          <a:picLocks noChangeAspect="1"/>
        </xdr:cNvPicPr>
      </xdr:nvPicPr>
      <xdr:blipFill>
        <a:blip r:embed="rId367"/>
        <a:srcRect r="1186" b="9828"/>
        <a:stretch>
          <a:fillRect/>
        </a:stretch>
      </xdr:blipFill>
      <xdr:spPr>
        <a:xfrm>
          <a:off x="7464425" y="46837600"/>
          <a:ext cx="1401445" cy="1280795"/>
        </a:xfrm>
        <a:prstGeom prst="rect">
          <a:avLst/>
        </a:prstGeom>
      </xdr:spPr>
    </xdr:pic>
  </etc:cellImage>
  <etc:cellImage>
    <xdr:pic>
      <xdr:nvPicPr>
        <xdr:cNvPr id="260" name="ID_ADAC163BAC8846F9B2A09BA2C3DC7EC4" descr="1371742805019_.pic_hd"/>
        <xdr:cNvPicPr>
          <a:picLocks noChangeAspect="1"/>
        </xdr:cNvPicPr>
      </xdr:nvPicPr>
      <xdr:blipFill>
        <a:blip r:embed="rId368"/>
        <a:stretch>
          <a:fillRect/>
        </a:stretch>
      </xdr:blipFill>
      <xdr:spPr>
        <a:xfrm>
          <a:off x="7564120" y="48282225"/>
          <a:ext cx="1195705" cy="1195070"/>
        </a:xfrm>
        <a:prstGeom prst="rect">
          <a:avLst/>
        </a:prstGeom>
      </xdr:spPr>
    </xdr:pic>
  </etc:cellImage>
  <etc:cellImage>
    <xdr:pic>
      <xdr:nvPicPr>
        <xdr:cNvPr id="299" name="ID_D1B32187936E41A1A96BB82D436ACEF6" descr="1401742805170_.pic_hd"/>
        <xdr:cNvPicPr>
          <a:picLocks noChangeAspect="1"/>
        </xdr:cNvPicPr>
      </xdr:nvPicPr>
      <xdr:blipFill>
        <a:blip r:embed="rId369"/>
        <a:stretch>
          <a:fillRect/>
        </a:stretch>
      </xdr:blipFill>
      <xdr:spPr>
        <a:xfrm>
          <a:off x="7604760" y="49580800"/>
          <a:ext cx="1172845" cy="1174115"/>
        </a:xfrm>
        <a:prstGeom prst="rect">
          <a:avLst/>
        </a:prstGeom>
      </xdr:spPr>
    </xdr:pic>
  </etc:cellImage>
  <etc:cellImage>
    <xdr:pic>
      <xdr:nvPicPr>
        <xdr:cNvPr id="261" name="ID_4352F2106B2D4CA791FBA796D5CBEE78" descr="1381742805019_.pic_hd"/>
        <xdr:cNvPicPr>
          <a:picLocks noChangeAspect="1"/>
        </xdr:cNvPicPr>
      </xdr:nvPicPr>
      <xdr:blipFill>
        <a:blip r:embed="rId370"/>
        <a:stretch>
          <a:fillRect/>
        </a:stretch>
      </xdr:blipFill>
      <xdr:spPr>
        <a:xfrm>
          <a:off x="7632065" y="50935890"/>
          <a:ext cx="1176655" cy="1176020"/>
        </a:xfrm>
        <a:prstGeom prst="rect">
          <a:avLst/>
        </a:prstGeom>
      </xdr:spPr>
    </xdr:pic>
  </etc:cellImage>
  <etc:cellImage>
    <xdr:pic>
      <xdr:nvPicPr>
        <xdr:cNvPr id="888" name="ID_210062D70F464C8097180668D85405BA" descr="1511742867582_.pic_hd"/>
        <xdr:cNvPicPr>
          <a:picLocks noChangeAspect="1"/>
        </xdr:cNvPicPr>
      </xdr:nvPicPr>
      <xdr:blipFill>
        <a:blip r:embed="rId371"/>
        <a:stretch>
          <a:fillRect/>
        </a:stretch>
      </xdr:blipFill>
      <xdr:spPr>
        <a:xfrm>
          <a:off x="5537200" y="8366760"/>
          <a:ext cx="835660" cy="856615"/>
        </a:xfrm>
        <a:prstGeom prst="rect">
          <a:avLst/>
        </a:prstGeom>
      </xdr:spPr>
    </xdr:pic>
  </etc:cellImage>
  <etc:cellImage>
    <xdr:pic>
      <xdr:nvPicPr>
        <xdr:cNvPr id="839" name="ID_3317BB4FBCBF440F8BF9366DE4C6D45C" descr="1211742787541_.pic"/>
        <xdr:cNvPicPr>
          <a:picLocks noChangeAspect="1"/>
        </xdr:cNvPicPr>
      </xdr:nvPicPr>
      <xdr:blipFill>
        <a:blip r:embed="rId372"/>
        <a:stretch>
          <a:fillRect/>
        </a:stretch>
      </xdr:blipFill>
      <xdr:spPr>
        <a:xfrm>
          <a:off x="5515610" y="12995275"/>
          <a:ext cx="863600" cy="842645"/>
        </a:xfrm>
        <a:prstGeom prst="rect">
          <a:avLst/>
        </a:prstGeom>
      </xdr:spPr>
    </xdr:pic>
  </etc:cellImage>
  <etc:cellImage>
    <xdr:pic>
      <xdr:nvPicPr>
        <xdr:cNvPr id="263" name="ID_96048CC20A0D452893DE984EBB9B86F4"/>
        <xdr:cNvPicPr>
          <a:picLocks noChangeAspect="1"/>
        </xdr:cNvPicPr>
      </xdr:nvPicPr>
      <xdr:blipFill>
        <a:blip r:embed="rId373"/>
        <a:stretch>
          <a:fillRect/>
        </a:stretch>
      </xdr:blipFill>
      <xdr:spPr>
        <a:xfrm>
          <a:off x="8616315" y="1638300"/>
          <a:ext cx="544195" cy="698500"/>
        </a:xfrm>
        <a:prstGeom prst="rect">
          <a:avLst/>
        </a:prstGeom>
        <a:noFill/>
        <a:ln w="9525">
          <a:noFill/>
        </a:ln>
      </xdr:spPr>
    </xdr:pic>
  </etc:cellImage>
  <etc:cellImage>
    <xdr:pic>
      <xdr:nvPicPr>
        <xdr:cNvPr id="264" name="ID_CE5362FD4D8147208D77D2E25FE5060E"/>
        <xdr:cNvPicPr>
          <a:picLocks noChangeAspect="1"/>
        </xdr:cNvPicPr>
      </xdr:nvPicPr>
      <xdr:blipFill>
        <a:blip r:embed="rId374"/>
        <a:stretch>
          <a:fillRect/>
        </a:stretch>
      </xdr:blipFill>
      <xdr:spPr>
        <a:xfrm>
          <a:off x="8378190" y="2533650"/>
          <a:ext cx="1217930" cy="474980"/>
        </a:xfrm>
        <a:prstGeom prst="rect">
          <a:avLst/>
        </a:prstGeom>
        <a:noFill/>
        <a:ln w="9525">
          <a:noFill/>
        </a:ln>
      </xdr:spPr>
    </xdr:pic>
  </etc:cellImage>
  <etc:cellImage>
    <xdr:pic>
      <xdr:nvPicPr>
        <xdr:cNvPr id="814" name="ID_1CBAF89624AC446F94A5576E862F5F9F"/>
        <xdr:cNvPicPr>
          <a:picLocks noChangeAspect="1"/>
        </xdr:cNvPicPr>
      </xdr:nvPicPr>
      <xdr:blipFill>
        <a:blip r:embed="rId375"/>
        <a:stretch>
          <a:fillRect/>
        </a:stretch>
      </xdr:blipFill>
      <xdr:spPr>
        <a:xfrm>
          <a:off x="3625850" y="8021955"/>
          <a:ext cx="514985" cy="481330"/>
        </a:xfrm>
        <a:prstGeom prst="rect">
          <a:avLst/>
        </a:prstGeom>
        <a:noFill/>
        <a:ln w="9525">
          <a:noFill/>
        </a:ln>
      </xdr:spPr>
    </xdr:pic>
  </etc:cellImage>
  <etc:cellImage>
    <xdr:pic>
      <xdr:nvPicPr>
        <xdr:cNvPr id="265" name="ID_02C4F256372343FB9A286C70951F3D8B"/>
        <xdr:cNvPicPr>
          <a:picLocks noChangeAspect="1"/>
        </xdr:cNvPicPr>
      </xdr:nvPicPr>
      <xdr:blipFill>
        <a:blip r:embed="rId376"/>
        <a:stretch>
          <a:fillRect/>
        </a:stretch>
      </xdr:blipFill>
      <xdr:spPr>
        <a:xfrm>
          <a:off x="8740140" y="3905250"/>
          <a:ext cx="620395" cy="640080"/>
        </a:xfrm>
        <a:prstGeom prst="rect">
          <a:avLst/>
        </a:prstGeom>
        <a:noFill/>
        <a:ln w="9525">
          <a:noFill/>
        </a:ln>
      </xdr:spPr>
    </xdr:pic>
  </etc:cellImage>
  <etc:cellImage>
    <xdr:pic>
      <xdr:nvPicPr>
        <xdr:cNvPr id="266" name="ID_563E138CF8504F97A8917FADAF805D15"/>
        <xdr:cNvPicPr>
          <a:picLocks noChangeAspect="1"/>
        </xdr:cNvPicPr>
      </xdr:nvPicPr>
      <xdr:blipFill>
        <a:blip r:embed="rId377"/>
        <a:stretch>
          <a:fillRect/>
        </a:stretch>
      </xdr:blipFill>
      <xdr:spPr>
        <a:xfrm>
          <a:off x="8673465" y="3228975"/>
          <a:ext cx="593090" cy="647065"/>
        </a:xfrm>
        <a:prstGeom prst="rect">
          <a:avLst/>
        </a:prstGeom>
        <a:noFill/>
        <a:ln w="9525">
          <a:noFill/>
        </a:ln>
      </xdr:spPr>
    </xdr:pic>
  </etc:cellImage>
  <etc:cellImage>
    <xdr:pic>
      <xdr:nvPicPr>
        <xdr:cNvPr id="868" name="ID_E3C1D8C8F6BC45FFA9E8436FE5B28F97"/>
        <xdr:cNvPicPr>
          <a:picLocks noChangeAspect="1"/>
        </xdr:cNvPicPr>
      </xdr:nvPicPr>
      <xdr:blipFill>
        <a:blip r:embed="rId378"/>
        <a:stretch>
          <a:fillRect/>
        </a:stretch>
      </xdr:blipFill>
      <xdr:spPr>
        <a:xfrm>
          <a:off x="3267710" y="9623425"/>
          <a:ext cx="532765" cy="499110"/>
        </a:xfrm>
        <a:prstGeom prst="rect">
          <a:avLst/>
        </a:prstGeom>
        <a:noFill/>
        <a:ln w="9525">
          <a:noFill/>
        </a:ln>
      </xdr:spPr>
    </xdr:pic>
  </etc:cellImage>
  <etc:cellImage>
    <xdr:pic>
      <xdr:nvPicPr>
        <xdr:cNvPr id="282" name="ID_6AF8FC64810445FBA9A6F2C996BE677D"/>
        <xdr:cNvPicPr/>
      </xdr:nvPicPr>
      <xdr:blipFill>
        <a:blip r:embed="rId379"/>
        <a:stretch>
          <a:fillRect/>
        </a:stretch>
      </xdr:blipFill>
      <xdr:spPr>
        <a:xfrm>
          <a:off x="8718550" y="5479415"/>
          <a:ext cx="535305" cy="593725"/>
        </a:xfrm>
        <a:prstGeom prst="rect">
          <a:avLst/>
        </a:prstGeom>
      </xdr:spPr>
    </xdr:pic>
  </etc:cellImage>
  <etc:cellImage>
    <xdr:pic>
      <xdr:nvPicPr>
        <xdr:cNvPr id="289" name="ID_1367E7201855400196D4159A10DBB157"/>
        <xdr:cNvPicPr>
          <a:picLocks noChangeAspect="1"/>
        </xdr:cNvPicPr>
      </xdr:nvPicPr>
      <xdr:blipFill>
        <a:blip r:embed="rId380"/>
        <a:stretch>
          <a:fillRect/>
        </a:stretch>
      </xdr:blipFill>
      <xdr:spPr>
        <a:xfrm>
          <a:off x="8454390" y="6257925"/>
          <a:ext cx="1043305" cy="636905"/>
        </a:xfrm>
        <a:prstGeom prst="rect">
          <a:avLst/>
        </a:prstGeom>
        <a:noFill/>
        <a:ln w="9525">
          <a:noFill/>
        </a:ln>
      </xdr:spPr>
    </xdr:pic>
  </etc:cellImage>
  <etc:cellImage>
    <xdr:pic>
      <xdr:nvPicPr>
        <xdr:cNvPr id="301" name="ID_5E15F86E7EC34D6A940B6C01ECA48DB3"/>
        <xdr:cNvPicPr>
          <a:picLocks noChangeAspect="1"/>
        </xdr:cNvPicPr>
      </xdr:nvPicPr>
      <xdr:blipFill>
        <a:blip r:embed="rId381"/>
        <a:stretch>
          <a:fillRect/>
        </a:stretch>
      </xdr:blipFill>
      <xdr:spPr>
        <a:xfrm>
          <a:off x="8482965" y="7000875"/>
          <a:ext cx="803910" cy="594995"/>
        </a:xfrm>
        <a:prstGeom prst="rect">
          <a:avLst/>
        </a:prstGeom>
        <a:noFill/>
        <a:ln w="9525">
          <a:noFill/>
        </a:ln>
      </xdr:spPr>
    </xdr:pic>
  </etc:cellImage>
  <etc:cellImage>
    <xdr:pic>
      <xdr:nvPicPr>
        <xdr:cNvPr id="305" name="ID_A2FFC1BA00BA422785B84BDC7338072A"/>
        <xdr:cNvPicPr>
          <a:picLocks noChangeAspect="1"/>
        </xdr:cNvPicPr>
      </xdr:nvPicPr>
      <xdr:blipFill>
        <a:blip r:embed="rId382"/>
        <a:stretch>
          <a:fillRect/>
        </a:stretch>
      </xdr:blipFill>
      <xdr:spPr>
        <a:xfrm>
          <a:off x="8635365" y="7734300"/>
          <a:ext cx="685165" cy="722630"/>
        </a:xfrm>
        <a:prstGeom prst="rect">
          <a:avLst/>
        </a:prstGeom>
        <a:noFill/>
        <a:ln w="9525">
          <a:noFill/>
        </a:ln>
      </xdr:spPr>
    </xdr:pic>
  </etc:cellImage>
  <etc:cellImage>
    <xdr:pic>
      <xdr:nvPicPr>
        <xdr:cNvPr id="306" name="ID_D1127CDAA7944B7D82E9C9440C112D13"/>
        <xdr:cNvPicPr>
          <a:picLocks noChangeAspect="1"/>
        </xdr:cNvPicPr>
      </xdr:nvPicPr>
      <xdr:blipFill>
        <a:blip r:embed="rId383"/>
        <a:stretch>
          <a:fillRect/>
        </a:stretch>
      </xdr:blipFill>
      <xdr:spPr>
        <a:xfrm>
          <a:off x="8825865" y="8553450"/>
          <a:ext cx="478155" cy="579120"/>
        </a:xfrm>
        <a:prstGeom prst="rect">
          <a:avLst/>
        </a:prstGeom>
        <a:noFill/>
        <a:ln w="9525">
          <a:noFill/>
        </a:ln>
      </xdr:spPr>
    </xdr:pic>
  </etc:cellImage>
  <etc:cellImage>
    <xdr:pic>
      <xdr:nvPicPr>
        <xdr:cNvPr id="838" name="ID_A96F5FEA67DD44158AD69B242A038435"/>
        <xdr:cNvPicPr>
          <a:picLocks noChangeAspect="1"/>
        </xdr:cNvPicPr>
      </xdr:nvPicPr>
      <xdr:blipFill>
        <a:blip r:embed="rId384"/>
        <a:stretch>
          <a:fillRect/>
        </a:stretch>
      </xdr:blipFill>
      <xdr:spPr>
        <a:xfrm>
          <a:off x="3634105" y="7494270"/>
          <a:ext cx="512445" cy="510540"/>
        </a:xfrm>
        <a:prstGeom prst="rect">
          <a:avLst/>
        </a:prstGeom>
        <a:noFill/>
        <a:ln w="9525">
          <a:noFill/>
        </a:ln>
      </xdr:spPr>
    </xdr:pic>
  </etc:cellImage>
  <etc:cellImage>
    <xdr:pic>
      <xdr:nvPicPr>
        <xdr:cNvPr id="307" name="ID_80E4A4A4F284443896B80B95422CDF34"/>
        <xdr:cNvPicPr/>
      </xdr:nvPicPr>
      <xdr:blipFill>
        <a:blip r:embed="rId385"/>
        <a:stretch>
          <a:fillRect/>
        </a:stretch>
      </xdr:blipFill>
      <xdr:spPr>
        <a:xfrm>
          <a:off x="8507730" y="10754360"/>
          <a:ext cx="934720" cy="644525"/>
        </a:xfrm>
        <a:prstGeom prst="rect">
          <a:avLst/>
        </a:prstGeom>
      </xdr:spPr>
    </xdr:pic>
  </etc:cellImage>
  <etc:cellImage>
    <xdr:pic>
      <xdr:nvPicPr>
        <xdr:cNvPr id="309" name="ID_8856C6F874E44EE38BFD2629B74AFDD3"/>
        <xdr:cNvPicPr/>
      </xdr:nvPicPr>
      <xdr:blipFill>
        <a:blip r:embed="rId386"/>
        <a:stretch>
          <a:fillRect/>
        </a:stretch>
      </xdr:blipFill>
      <xdr:spPr>
        <a:xfrm>
          <a:off x="8555990" y="19166205"/>
          <a:ext cx="861060" cy="732155"/>
        </a:xfrm>
        <a:prstGeom prst="rect">
          <a:avLst/>
        </a:prstGeom>
      </xdr:spPr>
    </xdr:pic>
  </etc:cellImage>
  <etc:cellImage>
    <xdr:pic>
      <xdr:nvPicPr>
        <xdr:cNvPr id="327" name="ID_B3DC610F57BD42C18344F38D33914A9D"/>
        <xdr:cNvPicPr/>
      </xdr:nvPicPr>
      <xdr:blipFill>
        <a:blip r:embed="rId387"/>
        <a:stretch>
          <a:fillRect/>
        </a:stretch>
      </xdr:blipFill>
      <xdr:spPr>
        <a:xfrm>
          <a:off x="8422005" y="11595100"/>
          <a:ext cx="1270000" cy="635000"/>
        </a:xfrm>
        <a:prstGeom prst="rect">
          <a:avLst/>
        </a:prstGeom>
      </xdr:spPr>
    </xdr:pic>
  </etc:cellImage>
  <etc:cellImage>
    <xdr:pic>
      <xdr:nvPicPr>
        <xdr:cNvPr id="878" name="ID_4F1E2568F21D4C3F93C74D876FC17954"/>
        <xdr:cNvPicPr/>
      </xdr:nvPicPr>
      <xdr:blipFill>
        <a:blip r:embed="rId388"/>
        <a:stretch>
          <a:fillRect/>
        </a:stretch>
      </xdr:blipFill>
      <xdr:spPr>
        <a:xfrm>
          <a:off x="2719070" y="7524750"/>
          <a:ext cx="446405" cy="457200"/>
        </a:xfrm>
        <a:prstGeom prst="rect">
          <a:avLst/>
        </a:prstGeom>
      </xdr:spPr>
    </xdr:pic>
  </etc:cellImage>
  <etc:cellImage>
    <xdr:pic>
      <xdr:nvPicPr>
        <xdr:cNvPr id="812" name="ID_4EC56FE900D1472693C38308C3722D24"/>
        <xdr:cNvPicPr>
          <a:picLocks noChangeAspect="1"/>
        </xdr:cNvPicPr>
      </xdr:nvPicPr>
      <xdr:blipFill>
        <a:blip r:embed="rId389"/>
        <a:stretch>
          <a:fillRect/>
        </a:stretch>
      </xdr:blipFill>
      <xdr:spPr>
        <a:xfrm>
          <a:off x="3612515" y="4816475"/>
          <a:ext cx="479425" cy="478155"/>
        </a:xfrm>
        <a:prstGeom prst="rect">
          <a:avLst/>
        </a:prstGeom>
        <a:noFill/>
        <a:ln w="9525">
          <a:noFill/>
        </a:ln>
      </xdr:spPr>
    </xdr:pic>
  </etc:cellImage>
  <etc:cellImage>
    <xdr:pic>
      <xdr:nvPicPr>
        <xdr:cNvPr id="336" name="ID_4220CE02F5994EDA91E91D8AE6CF7746"/>
        <xdr:cNvPicPr/>
      </xdr:nvPicPr>
      <xdr:blipFill>
        <a:blip r:embed="rId390"/>
        <a:stretch>
          <a:fillRect/>
        </a:stretch>
      </xdr:blipFill>
      <xdr:spPr>
        <a:xfrm>
          <a:off x="8327390" y="12453620"/>
          <a:ext cx="1272540" cy="526415"/>
        </a:xfrm>
        <a:prstGeom prst="rect">
          <a:avLst/>
        </a:prstGeom>
      </xdr:spPr>
    </xdr:pic>
  </etc:cellImage>
  <etc:cellImage>
    <xdr:pic>
      <xdr:nvPicPr>
        <xdr:cNvPr id="341" name="ID_D1466E2EA6EB4D97A1E1EBBCAE36F279"/>
        <xdr:cNvPicPr/>
      </xdr:nvPicPr>
      <xdr:blipFill>
        <a:blip r:embed="rId391"/>
        <a:stretch>
          <a:fillRect/>
        </a:stretch>
      </xdr:blipFill>
      <xdr:spPr>
        <a:xfrm>
          <a:off x="8431530" y="13093700"/>
          <a:ext cx="937260" cy="652145"/>
        </a:xfrm>
        <a:prstGeom prst="rect">
          <a:avLst/>
        </a:prstGeom>
      </xdr:spPr>
    </xdr:pic>
  </etc:cellImage>
  <etc:cellImage>
    <xdr:pic>
      <xdr:nvPicPr>
        <xdr:cNvPr id="848" name="ID_40360763E9754942A878D5EF3DACA65C"/>
        <xdr:cNvPicPr>
          <a:picLocks noChangeAspect="1"/>
        </xdr:cNvPicPr>
      </xdr:nvPicPr>
      <xdr:blipFill>
        <a:blip r:embed="rId392"/>
        <a:stretch>
          <a:fillRect/>
        </a:stretch>
      </xdr:blipFill>
      <xdr:spPr>
        <a:xfrm>
          <a:off x="3647440" y="6963410"/>
          <a:ext cx="494665" cy="479425"/>
        </a:xfrm>
        <a:prstGeom prst="rect">
          <a:avLst/>
        </a:prstGeom>
        <a:noFill/>
        <a:ln w="9525">
          <a:noFill/>
        </a:ln>
      </xdr:spPr>
    </xdr:pic>
  </etc:cellImage>
  <etc:cellImage>
    <xdr:pic>
      <xdr:nvPicPr>
        <xdr:cNvPr id="355" name="ID_A0071D12CD77435EAD8FCFF1F9A5DAEE"/>
        <xdr:cNvPicPr/>
      </xdr:nvPicPr>
      <xdr:blipFill>
        <a:blip r:embed="rId393"/>
        <a:stretch>
          <a:fillRect/>
        </a:stretch>
      </xdr:blipFill>
      <xdr:spPr>
        <a:xfrm>
          <a:off x="8517255" y="13887450"/>
          <a:ext cx="1069975" cy="623570"/>
        </a:xfrm>
        <a:prstGeom prst="rect">
          <a:avLst/>
        </a:prstGeom>
      </xdr:spPr>
    </xdr:pic>
  </etc:cellImage>
  <etc:cellImage>
    <xdr:pic>
      <xdr:nvPicPr>
        <xdr:cNvPr id="390" name="ID_7CADA7BD93DE4E8CB5718D7E9D0540A6"/>
        <xdr:cNvPicPr/>
      </xdr:nvPicPr>
      <xdr:blipFill>
        <a:blip r:embed="rId394"/>
        <a:stretch>
          <a:fillRect/>
        </a:stretch>
      </xdr:blipFill>
      <xdr:spPr>
        <a:xfrm>
          <a:off x="8448675" y="14629130"/>
          <a:ext cx="1054735" cy="602615"/>
        </a:xfrm>
        <a:prstGeom prst="rect">
          <a:avLst/>
        </a:prstGeom>
      </xdr:spPr>
    </xdr:pic>
  </etc:cellImage>
  <etc:cellImage>
    <xdr:pic>
      <xdr:nvPicPr>
        <xdr:cNvPr id="394" name="ID_132E7AE9D7F8413C8764DA9E6E44992D"/>
        <xdr:cNvPicPr/>
      </xdr:nvPicPr>
      <xdr:blipFill>
        <a:blip r:embed="rId395"/>
        <a:stretch>
          <a:fillRect/>
        </a:stretch>
      </xdr:blipFill>
      <xdr:spPr>
        <a:xfrm rot="10800000" flipV="1">
          <a:off x="8404225" y="15411450"/>
          <a:ext cx="1283335" cy="626110"/>
        </a:xfrm>
        <a:prstGeom prst="rect">
          <a:avLst/>
        </a:prstGeom>
      </xdr:spPr>
    </xdr:pic>
  </etc:cellImage>
  <etc:cellImage>
    <xdr:pic>
      <xdr:nvPicPr>
        <xdr:cNvPr id="401" name="ID_CDF3B40676AA4A0B8ABB5AA8FDF6E5EE"/>
        <xdr:cNvPicPr/>
      </xdr:nvPicPr>
      <xdr:blipFill>
        <a:blip r:embed="rId396"/>
        <a:stretch>
          <a:fillRect/>
        </a:stretch>
      </xdr:blipFill>
      <xdr:spPr>
        <a:xfrm>
          <a:off x="8455660" y="16918305"/>
          <a:ext cx="1137920" cy="667385"/>
        </a:xfrm>
        <a:prstGeom prst="rect">
          <a:avLst/>
        </a:prstGeom>
      </xdr:spPr>
    </xdr:pic>
  </etc:cellImage>
  <etc:cellImage>
    <xdr:pic>
      <xdr:nvPicPr>
        <xdr:cNvPr id="402" name="ID_11A847B7FCA44B3AAFC5886908CFB524"/>
        <xdr:cNvPicPr/>
      </xdr:nvPicPr>
      <xdr:blipFill>
        <a:blip r:embed="rId397"/>
        <a:stretch>
          <a:fillRect/>
        </a:stretch>
      </xdr:blipFill>
      <xdr:spPr>
        <a:xfrm>
          <a:off x="8522970" y="17667605"/>
          <a:ext cx="914400" cy="754380"/>
        </a:xfrm>
        <a:prstGeom prst="rect">
          <a:avLst/>
        </a:prstGeom>
      </xdr:spPr>
    </xdr:pic>
  </etc:cellImage>
  <etc:cellImage>
    <xdr:pic>
      <xdr:nvPicPr>
        <xdr:cNvPr id="404" name="ID_71E7C6BB84B544FE8C8AFF7CD2C9E9F5"/>
        <xdr:cNvPicPr>
          <a:picLocks noChangeAspect="1"/>
        </xdr:cNvPicPr>
      </xdr:nvPicPr>
      <xdr:blipFill>
        <a:blip r:embed="rId398"/>
        <a:stretch>
          <a:fillRect/>
        </a:stretch>
      </xdr:blipFill>
      <xdr:spPr>
        <a:xfrm>
          <a:off x="8511540" y="18402300"/>
          <a:ext cx="843915" cy="660400"/>
        </a:xfrm>
        <a:prstGeom prst="rect">
          <a:avLst/>
        </a:prstGeom>
        <a:noFill/>
        <a:ln w="9525">
          <a:noFill/>
        </a:ln>
      </xdr:spPr>
    </xdr:pic>
  </etc:cellImage>
  <etc:cellImage>
    <xdr:pic>
      <xdr:nvPicPr>
        <xdr:cNvPr id="405" name="ID_34C8001B259D4B83AAD3D35E557FABC0"/>
        <xdr:cNvPicPr/>
      </xdr:nvPicPr>
      <xdr:blipFill>
        <a:blip r:embed="rId399"/>
        <a:stretch>
          <a:fillRect/>
        </a:stretch>
      </xdr:blipFill>
      <xdr:spPr>
        <a:xfrm>
          <a:off x="8660765" y="19965670"/>
          <a:ext cx="756285" cy="624840"/>
        </a:xfrm>
        <a:prstGeom prst="rect">
          <a:avLst/>
        </a:prstGeom>
      </xdr:spPr>
    </xdr:pic>
  </etc:cellImage>
  <etc:cellImage>
    <xdr:pic>
      <xdr:nvPicPr>
        <xdr:cNvPr id="825" name="ID_C5D9D0B4E6214FE1BD8CE05D1EA1F645"/>
        <xdr:cNvPicPr>
          <a:picLocks noChangeAspect="1"/>
        </xdr:cNvPicPr>
      </xdr:nvPicPr>
      <xdr:blipFill>
        <a:blip r:embed="rId400"/>
        <a:stretch>
          <a:fillRect/>
        </a:stretch>
      </xdr:blipFill>
      <xdr:spPr>
        <a:xfrm>
          <a:off x="4949190" y="6915150"/>
          <a:ext cx="460375" cy="518160"/>
        </a:xfrm>
        <a:prstGeom prst="rect">
          <a:avLst/>
        </a:prstGeom>
        <a:noFill/>
        <a:ln w="9525">
          <a:noFill/>
        </a:ln>
      </xdr:spPr>
    </xdr:pic>
  </etc:cellImage>
  <etc:cellImage>
    <xdr:pic>
      <xdr:nvPicPr>
        <xdr:cNvPr id="813" name="ID_F3BD277207944F01825EC17180D01392"/>
        <xdr:cNvPicPr>
          <a:picLocks noChangeAspect="1"/>
        </xdr:cNvPicPr>
      </xdr:nvPicPr>
      <xdr:blipFill>
        <a:blip r:embed="rId401"/>
        <a:stretch>
          <a:fillRect/>
        </a:stretch>
      </xdr:blipFill>
      <xdr:spPr>
        <a:xfrm>
          <a:off x="6342380" y="24824690"/>
          <a:ext cx="1186180" cy="999490"/>
        </a:xfrm>
        <a:prstGeom prst="rect">
          <a:avLst/>
        </a:prstGeom>
        <a:noFill/>
        <a:ln w="9525">
          <a:noFill/>
        </a:ln>
      </xdr:spPr>
    </xdr:pic>
  </etc:cellImage>
  <etc:cellImage>
    <xdr:pic>
      <xdr:nvPicPr>
        <xdr:cNvPr id="819" name="ID_88173B6F72E749E89D07311CD9671125"/>
        <xdr:cNvPicPr>
          <a:picLocks noChangeAspect="1"/>
        </xdr:cNvPicPr>
      </xdr:nvPicPr>
      <xdr:blipFill>
        <a:blip r:embed="rId402"/>
        <a:stretch>
          <a:fillRect/>
        </a:stretch>
      </xdr:blipFill>
      <xdr:spPr>
        <a:xfrm>
          <a:off x="3619500" y="3226435"/>
          <a:ext cx="520065" cy="473710"/>
        </a:xfrm>
        <a:prstGeom prst="rect">
          <a:avLst/>
        </a:prstGeom>
        <a:noFill/>
        <a:ln w="9525">
          <a:noFill/>
        </a:ln>
      </xdr:spPr>
    </xdr:pic>
  </etc:cellImage>
  <etc:cellImage>
    <xdr:pic>
      <xdr:nvPicPr>
        <xdr:cNvPr id="829" name="ID_6612C60656AB4E08AB881269376014AE"/>
        <xdr:cNvPicPr>
          <a:picLocks noChangeAspect="1"/>
        </xdr:cNvPicPr>
      </xdr:nvPicPr>
      <xdr:blipFill>
        <a:blip r:embed="rId403"/>
        <a:stretch>
          <a:fillRect/>
        </a:stretch>
      </xdr:blipFill>
      <xdr:spPr>
        <a:xfrm>
          <a:off x="3624580" y="5358130"/>
          <a:ext cx="523240" cy="520700"/>
        </a:xfrm>
        <a:prstGeom prst="rect">
          <a:avLst/>
        </a:prstGeom>
        <a:noFill/>
        <a:ln w="9525">
          <a:noFill/>
        </a:ln>
      </xdr:spPr>
    </xdr:pic>
  </etc:cellImage>
  <etc:cellImage>
    <xdr:pic>
      <xdr:nvPicPr>
        <xdr:cNvPr id="843" name="ID_0C59DDA424444D1A873FF2097A7A7C65"/>
        <xdr:cNvPicPr>
          <a:picLocks noChangeAspect="1"/>
        </xdr:cNvPicPr>
      </xdr:nvPicPr>
      <xdr:blipFill>
        <a:blip r:embed="rId404"/>
        <a:stretch>
          <a:fillRect/>
        </a:stretch>
      </xdr:blipFill>
      <xdr:spPr>
        <a:xfrm>
          <a:off x="3649980" y="6439535"/>
          <a:ext cx="481965" cy="457200"/>
        </a:xfrm>
        <a:prstGeom prst="rect">
          <a:avLst/>
        </a:prstGeom>
        <a:noFill/>
        <a:ln w="9525">
          <a:noFill/>
        </a:ln>
      </xdr:spPr>
    </xdr:pic>
  </etc:cellImage>
  <etc:cellImage>
    <xdr:pic>
      <xdr:nvPicPr>
        <xdr:cNvPr id="857" name="ID_7FF9C2C17C5B4387944F52A354DF7D0D"/>
        <xdr:cNvPicPr>
          <a:picLocks noChangeAspect="1"/>
        </xdr:cNvPicPr>
      </xdr:nvPicPr>
      <xdr:blipFill>
        <a:blip r:embed="rId405"/>
        <a:stretch>
          <a:fillRect/>
        </a:stretch>
      </xdr:blipFill>
      <xdr:spPr>
        <a:xfrm>
          <a:off x="3647440" y="8566150"/>
          <a:ext cx="548640" cy="495935"/>
        </a:xfrm>
        <a:prstGeom prst="rect">
          <a:avLst/>
        </a:prstGeom>
        <a:noFill/>
        <a:ln w="9525">
          <a:noFill/>
        </a:ln>
      </xdr:spPr>
    </xdr:pic>
  </etc:cellImage>
  <etc:cellImage>
    <xdr:pic>
      <xdr:nvPicPr>
        <xdr:cNvPr id="871" name="ID_BFDE7E196EB54A5BAEC9335E53046E94"/>
        <xdr:cNvPicPr>
          <a:picLocks noChangeAspect="1"/>
        </xdr:cNvPicPr>
      </xdr:nvPicPr>
      <xdr:blipFill>
        <a:blip r:embed="rId406"/>
        <a:stretch>
          <a:fillRect/>
        </a:stretch>
      </xdr:blipFill>
      <xdr:spPr>
        <a:xfrm>
          <a:off x="3269615" y="10195560"/>
          <a:ext cx="527050" cy="463550"/>
        </a:xfrm>
        <a:prstGeom prst="rect">
          <a:avLst/>
        </a:prstGeom>
        <a:noFill/>
        <a:ln w="9525">
          <a:noFill/>
        </a:ln>
      </xdr:spPr>
    </xdr:pic>
  </etc:cellImage>
  <etc:cellImage>
    <xdr:pic>
      <xdr:nvPicPr>
        <xdr:cNvPr id="879" name="ID_375075DB8ADD49BC9E8A67D7F92A550F"/>
        <xdr:cNvPicPr>
          <a:picLocks noChangeAspect="1"/>
        </xdr:cNvPicPr>
      </xdr:nvPicPr>
      <xdr:blipFill>
        <a:blip r:embed="rId407"/>
        <a:stretch>
          <a:fillRect/>
        </a:stretch>
      </xdr:blipFill>
      <xdr:spPr>
        <a:xfrm>
          <a:off x="3241040" y="9109710"/>
          <a:ext cx="558165" cy="480060"/>
        </a:xfrm>
        <a:prstGeom prst="rect">
          <a:avLst/>
        </a:prstGeom>
        <a:noFill/>
        <a:ln w="9525">
          <a:noFill/>
        </a:ln>
      </xdr:spPr>
    </xdr:pic>
  </etc:cellImage>
  <etc:cellImage>
    <xdr:pic>
      <xdr:nvPicPr>
        <xdr:cNvPr id="738" name="ID_5ED5C381475242208E93047EE2BAB046"/>
        <xdr:cNvPicPr>
          <a:picLocks noChangeAspect="1"/>
        </xdr:cNvPicPr>
      </xdr:nvPicPr>
      <xdr:blipFill>
        <a:blip r:embed="rId408"/>
        <a:stretch>
          <a:fillRect/>
        </a:stretch>
      </xdr:blipFill>
      <xdr:spPr>
        <a:xfrm>
          <a:off x="8105140" y="61864240"/>
          <a:ext cx="560705" cy="683260"/>
        </a:xfrm>
        <a:prstGeom prst="rect">
          <a:avLst/>
        </a:prstGeom>
        <a:noFill/>
        <a:ln w="9525">
          <a:noFill/>
        </a:ln>
      </xdr:spPr>
    </xdr:pic>
  </etc:cellImage>
  <etc:cellImage>
    <xdr:pic>
      <xdr:nvPicPr>
        <xdr:cNvPr id="487" name="ID_76480C510D3B4F0694D7BA0EB6786C60" descr="图片2"/>
        <xdr:cNvPicPr/>
      </xdr:nvPicPr>
      <xdr:blipFill>
        <a:blip r:embed="rId409"/>
        <a:stretch>
          <a:fillRect/>
        </a:stretch>
      </xdr:blipFill>
      <xdr:spPr>
        <a:xfrm>
          <a:off x="0" y="0"/>
          <a:ext cx="971550" cy="781050"/>
        </a:xfrm>
        <a:prstGeom prst="rect">
          <a:avLst/>
        </a:prstGeom>
      </xdr:spPr>
    </xdr:pic>
  </etc:cellImage>
  <etc:cellImage>
    <xdr:pic>
      <xdr:nvPicPr>
        <xdr:cNvPr id="745" name="ID_A7125DEBF5DC4291AEF4CB77CE131896"/>
        <xdr:cNvPicPr>
          <a:picLocks noChangeAspect="1"/>
        </xdr:cNvPicPr>
      </xdr:nvPicPr>
      <xdr:blipFill>
        <a:blip r:embed="rId410"/>
        <a:stretch>
          <a:fillRect/>
        </a:stretch>
      </xdr:blipFill>
      <xdr:spPr>
        <a:xfrm>
          <a:off x="7896225" y="59361705"/>
          <a:ext cx="873760" cy="657860"/>
        </a:xfrm>
        <a:prstGeom prst="rect">
          <a:avLst/>
        </a:prstGeom>
        <a:noFill/>
        <a:ln w="9525">
          <a:noFill/>
        </a:ln>
      </xdr:spPr>
    </xdr:pic>
  </etc:cellImage>
  <etc:cellImage>
    <xdr:pic>
      <xdr:nvPicPr>
        <xdr:cNvPr id="492" name="ID_A08A3E53B23948B3A912CDAF049CD863" descr="图片1"/>
        <xdr:cNvPicPr/>
      </xdr:nvPicPr>
      <xdr:blipFill>
        <a:blip r:embed="rId411"/>
        <a:stretch>
          <a:fillRect/>
        </a:stretch>
      </xdr:blipFill>
      <xdr:spPr>
        <a:xfrm>
          <a:off x="0" y="0"/>
          <a:ext cx="971550" cy="781050"/>
        </a:xfrm>
        <a:prstGeom prst="rect">
          <a:avLst/>
        </a:prstGeom>
      </xdr:spPr>
    </xdr:pic>
  </etc:cellImage>
  <etc:cellImage>
    <xdr:pic>
      <xdr:nvPicPr>
        <xdr:cNvPr id="726" name="ID_9FF80DBA63114C5D9FB3802B70D21531" descr="B615"/>
        <xdr:cNvPicPr>
          <a:picLocks noChangeAspect="1" noChangeArrowheads="1"/>
        </xdr:cNvPicPr>
      </xdr:nvPicPr>
      <xdr:blipFill>
        <a:blip r:embed="rId412"/>
        <a:srcRect/>
        <a:stretch>
          <a:fillRect/>
        </a:stretch>
      </xdr:blipFill>
      <xdr:spPr>
        <a:xfrm>
          <a:off x="7588250" y="6436995"/>
          <a:ext cx="852170" cy="685165"/>
        </a:xfrm>
        <a:prstGeom prst="rect">
          <a:avLst/>
        </a:prstGeom>
        <a:noFill/>
      </xdr:spPr>
    </xdr:pic>
  </etc:cellImage>
  <etc:cellImage>
    <xdr:pic>
      <xdr:nvPicPr>
        <xdr:cNvPr id="783" name="ID_91BD97D3F707441C997DD4375A2A065E"/>
        <xdr:cNvPicPr>
          <a:picLocks noChangeAspect="1"/>
        </xdr:cNvPicPr>
      </xdr:nvPicPr>
      <xdr:blipFill>
        <a:blip r:embed="rId413"/>
        <a:stretch>
          <a:fillRect/>
        </a:stretch>
      </xdr:blipFill>
      <xdr:spPr>
        <a:xfrm>
          <a:off x="7727315" y="54206775"/>
          <a:ext cx="749300" cy="659130"/>
        </a:xfrm>
        <a:prstGeom prst="rect">
          <a:avLst/>
        </a:prstGeom>
        <a:noFill/>
        <a:ln w="9525">
          <a:noFill/>
        </a:ln>
      </xdr:spPr>
    </xdr:pic>
  </etc:cellImage>
  <etc:cellImage>
    <xdr:pic>
      <xdr:nvPicPr>
        <xdr:cNvPr id="727" name="ID_B597F416EAA54AD6922AF6738C2FDAC7" descr="B615"/>
        <xdr:cNvPicPr>
          <a:picLocks noChangeAspect="1" noChangeArrowheads="1"/>
        </xdr:cNvPicPr>
      </xdr:nvPicPr>
      <xdr:blipFill>
        <a:blip r:embed="rId414"/>
        <a:srcRect/>
        <a:stretch>
          <a:fillRect/>
        </a:stretch>
      </xdr:blipFill>
      <xdr:spPr>
        <a:xfrm>
          <a:off x="7825740" y="5722620"/>
          <a:ext cx="674370" cy="542290"/>
        </a:xfrm>
        <a:prstGeom prst="rect">
          <a:avLst/>
        </a:prstGeom>
        <a:noFill/>
      </xdr:spPr>
    </xdr:pic>
  </etc:cellImage>
  <etc:cellImage>
    <xdr:pic>
      <xdr:nvPicPr>
        <xdr:cNvPr id="760" name="ID_78B20FE3C247422BB1367CC8C6E9A35D"/>
        <xdr:cNvPicPr>
          <a:picLocks noChangeAspect="1"/>
        </xdr:cNvPicPr>
      </xdr:nvPicPr>
      <xdr:blipFill>
        <a:blip r:embed="rId415"/>
        <a:stretch>
          <a:fillRect/>
        </a:stretch>
      </xdr:blipFill>
      <xdr:spPr>
        <a:xfrm>
          <a:off x="7472680" y="27500580"/>
          <a:ext cx="559435" cy="725170"/>
        </a:xfrm>
        <a:prstGeom prst="rect">
          <a:avLst/>
        </a:prstGeom>
        <a:noFill/>
        <a:ln w="9525">
          <a:noFill/>
        </a:ln>
      </xdr:spPr>
    </xdr:pic>
  </etc:cellImage>
  <etc:cellImage>
    <xdr:pic>
      <xdr:nvPicPr>
        <xdr:cNvPr id="737" name="ID_03DE8335FF8947AFAD3DF0ADFD9DEB4E"/>
        <xdr:cNvPicPr>
          <a:picLocks noChangeAspect="1"/>
        </xdr:cNvPicPr>
      </xdr:nvPicPr>
      <xdr:blipFill>
        <a:blip r:embed="rId416"/>
        <a:stretch>
          <a:fillRect/>
        </a:stretch>
      </xdr:blipFill>
      <xdr:spPr>
        <a:xfrm>
          <a:off x="7326630" y="51985545"/>
          <a:ext cx="591185" cy="524510"/>
        </a:xfrm>
        <a:prstGeom prst="rect">
          <a:avLst/>
        </a:prstGeom>
        <a:noFill/>
        <a:ln w="9525">
          <a:noFill/>
        </a:ln>
      </xdr:spPr>
    </xdr:pic>
  </etc:cellImage>
  <etc:cellImage>
    <xdr:pic>
      <xdr:nvPicPr>
        <xdr:cNvPr id="723" name="ID_34409E92535C4DDF8BCF2CBF7DFF66AA"/>
        <xdr:cNvPicPr>
          <a:picLocks noChangeAspect="1"/>
        </xdr:cNvPicPr>
      </xdr:nvPicPr>
      <xdr:blipFill>
        <a:blip r:embed="rId417"/>
        <a:stretch>
          <a:fillRect/>
        </a:stretch>
      </xdr:blipFill>
      <xdr:spPr>
        <a:xfrm>
          <a:off x="7551420" y="4967605"/>
          <a:ext cx="1079500" cy="594995"/>
        </a:xfrm>
        <a:prstGeom prst="rect">
          <a:avLst/>
        </a:prstGeom>
        <a:noFill/>
        <a:ln w="9525">
          <a:noFill/>
        </a:ln>
      </xdr:spPr>
    </xdr:pic>
  </etc:cellImage>
  <etc:cellImage>
    <xdr:pic>
      <xdr:nvPicPr>
        <xdr:cNvPr id="749" name="ID_8C101F95FF52468FBB14346AA28D8A41"/>
        <xdr:cNvPicPr>
          <a:picLocks noChangeAspect="1"/>
        </xdr:cNvPicPr>
      </xdr:nvPicPr>
      <xdr:blipFill>
        <a:blip r:embed="rId418"/>
        <a:stretch>
          <a:fillRect/>
        </a:stretch>
      </xdr:blipFill>
      <xdr:spPr>
        <a:xfrm>
          <a:off x="7365365" y="21518880"/>
          <a:ext cx="795655" cy="768350"/>
        </a:xfrm>
        <a:prstGeom prst="rect">
          <a:avLst/>
        </a:prstGeom>
        <a:noFill/>
        <a:ln w="9525">
          <a:noFill/>
        </a:ln>
      </xdr:spPr>
    </xdr:pic>
  </etc:cellImage>
  <etc:cellImage>
    <xdr:pic>
      <xdr:nvPicPr>
        <xdr:cNvPr id="743" name="ID_1D9A975EEBEA421CB3A7C469E6AE7B53"/>
        <xdr:cNvPicPr>
          <a:picLocks noChangeAspect="1"/>
        </xdr:cNvPicPr>
      </xdr:nvPicPr>
      <xdr:blipFill>
        <a:blip r:embed="rId419"/>
        <a:stretch>
          <a:fillRect/>
        </a:stretch>
      </xdr:blipFill>
      <xdr:spPr>
        <a:xfrm>
          <a:off x="7415530" y="79190850"/>
          <a:ext cx="963930" cy="971550"/>
        </a:xfrm>
        <a:prstGeom prst="rect">
          <a:avLst/>
        </a:prstGeom>
        <a:noFill/>
        <a:ln w="9525">
          <a:noFill/>
        </a:ln>
      </xdr:spPr>
    </xdr:pic>
  </etc:cellImage>
  <etc:cellImage>
    <xdr:pic>
      <xdr:nvPicPr>
        <xdr:cNvPr id="766" name="ID_990CB3C0D41245E485F5BB1CC47A0409"/>
        <xdr:cNvPicPr>
          <a:picLocks noChangeAspect="1"/>
        </xdr:cNvPicPr>
      </xdr:nvPicPr>
      <xdr:blipFill>
        <a:blip r:embed="rId420"/>
        <a:stretch>
          <a:fillRect/>
        </a:stretch>
      </xdr:blipFill>
      <xdr:spPr>
        <a:xfrm>
          <a:off x="7353300" y="35121215"/>
          <a:ext cx="736600" cy="736600"/>
        </a:xfrm>
        <a:prstGeom prst="rect">
          <a:avLst/>
        </a:prstGeom>
        <a:noFill/>
        <a:ln w="9525">
          <a:noFill/>
        </a:ln>
      </xdr:spPr>
    </xdr:pic>
  </etc:cellImage>
  <etc:cellImage>
    <xdr:pic>
      <xdr:nvPicPr>
        <xdr:cNvPr id="720" name="ID_C31A39A243FD470BA494A6921B503812" descr="2.jpg"/>
        <xdr:cNvPicPr>
          <a:picLocks noChangeAspect="1"/>
        </xdr:cNvPicPr>
      </xdr:nvPicPr>
      <xdr:blipFill>
        <a:blip r:embed="rId421"/>
        <a:stretch>
          <a:fillRect/>
        </a:stretch>
      </xdr:blipFill>
      <xdr:spPr>
        <a:xfrm>
          <a:off x="7493000" y="7980680"/>
          <a:ext cx="689610" cy="506095"/>
        </a:xfrm>
        <a:prstGeom prst="rect">
          <a:avLst/>
        </a:prstGeom>
      </xdr:spPr>
    </xdr:pic>
  </etc:cellImage>
  <etc:cellImage>
    <xdr:pic>
      <xdr:nvPicPr>
        <xdr:cNvPr id="721" name="ID_459ED669E49A41F8AC9B151F639A53F2" descr="2.jpg"/>
        <xdr:cNvPicPr>
          <a:picLocks noChangeAspect="1"/>
        </xdr:cNvPicPr>
      </xdr:nvPicPr>
      <xdr:blipFill>
        <a:blip r:embed="rId422"/>
        <a:stretch>
          <a:fillRect/>
        </a:stretch>
      </xdr:blipFill>
      <xdr:spPr>
        <a:xfrm>
          <a:off x="7374255" y="7250430"/>
          <a:ext cx="1213485" cy="426720"/>
        </a:xfrm>
        <a:prstGeom prst="rect">
          <a:avLst/>
        </a:prstGeom>
      </xdr:spPr>
    </xdr:pic>
  </etc:cellImage>
  <etc:cellImage>
    <xdr:pic>
      <xdr:nvPicPr>
        <xdr:cNvPr id="742" name="ID_26D246DF5F1D445C899A177CE6A6F00A"/>
        <xdr:cNvPicPr>
          <a:picLocks noChangeAspect="1"/>
        </xdr:cNvPicPr>
      </xdr:nvPicPr>
      <xdr:blipFill>
        <a:blip r:embed="rId423"/>
        <a:stretch>
          <a:fillRect/>
        </a:stretch>
      </xdr:blipFill>
      <xdr:spPr>
        <a:xfrm>
          <a:off x="7383145" y="16407130"/>
          <a:ext cx="697230" cy="662940"/>
        </a:xfrm>
        <a:prstGeom prst="rect">
          <a:avLst/>
        </a:prstGeom>
        <a:noFill/>
        <a:ln w="9525">
          <a:noFill/>
        </a:ln>
      </xdr:spPr>
    </xdr:pic>
  </etc:cellImage>
  <etc:cellImage>
    <xdr:pic>
      <xdr:nvPicPr>
        <xdr:cNvPr id="719" name="ID_BEB15390F24F477A89A5DC70F163E4F7" descr="1.jpg"/>
        <xdr:cNvPicPr>
          <a:picLocks noChangeAspect="1"/>
        </xdr:cNvPicPr>
      </xdr:nvPicPr>
      <xdr:blipFill>
        <a:blip r:embed="rId424"/>
        <a:stretch>
          <a:fillRect/>
        </a:stretch>
      </xdr:blipFill>
      <xdr:spPr>
        <a:xfrm>
          <a:off x="7468870" y="8758555"/>
          <a:ext cx="975995" cy="673735"/>
        </a:xfrm>
        <a:prstGeom prst="rect">
          <a:avLst/>
        </a:prstGeom>
      </xdr:spPr>
    </xdr:pic>
  </etc:cellImage>
  <etc:cellImage>
    <xdr:pic>
      <xdr:nvPicPr>
        <xdr:cNvPr id="729" name="ID_E4D55E9159564FBDBC565C928992BBC8" descr="1.jpg"/>
        <xdr:cNvPicPr>
          <a:picLocks noChangeAspect="1"/>
        </xdr:cNvPicPr>
      </xdr:nvPicPr>
      <xdr:blipFill>
        <a:blip r:embed="rId424"/>
        <a:stretch>
          <a:fillRect/>
        </a:stretch>
      </xdr:blipFill>
      <xdr:spPr>
        <a:xfrm>
          <a:off x="7505065" y="9484360"/>
          <a:ext cx="975995" cy="673735"/>
        </a:xfrm>
        <a:prstGeom prst="rect">
          <a:avLst/>
        </a:prstGeom>
      </xdr:spPr>
    </xdr:pic>
  </etc:cellImage>
  <etc:cellImage>
    <xdr:pic>
      <xdr:nvPicPr>
        <xdr:cNvPr id="781" name="ID_375D30FBED86407DB4E923E70CD1926C"/>
        <xdr:cNvPicPr>
          <a:picLocks noChangeAspect="1"/>
        </xdr:cNvPicPr>
      </xdr:nvPicPr>
      <xdr:blipFill>
        <a:blip r:embed="rId425"/>
        <a:stretch>
          <a:fillRect/>
        </a:stretch>
      </xdr:blipFill>
      <xdr:spPr>
        <a:xfrm>
          <a:off x="7349490" y="52652295"/>
          <a:ext cx="804545" cy="645795"/>
        </a:xfrm>
        <a:prstGeom prst="rect">
          <a:avLst/>
        </a:prstGeom>
        <a:noFill/>
        <a:ln w="9525">
          <a:noFill/>
        </a:ln>
      </xdr:spPr>
    </xdr:pic>
  </etc:cellImage>
  <etc:cellImage>
    <xdr:pic>
      <xdr:nvPicPr>
        <xdr:cNvPr id="758" name="ID_5971E80E16FB499493D256C7D2D7C118"/>
        <xdr:cNvPicPr>
          <a:picLocks noChangeAspect="1"/>
        </xdr:cNvPicPr>
      </xdr:nvPicPr>
      <xdr:blipFill>
        <a:blip r:embed="rId426"/>
        <a:stretch>
          <a:fillRect/>
        </a:stretch>
      </xdr:blipFill>
      <xdr:spPr>
        <a:xfrm>
          <a:off x="7433310" y="26645235"/>
          <a:ext cx="706755" cy="708660"/>
        </a:xfrm>
        <a:prstGeom prst="rect">
          <a:avLst/>
        </a:prstGeom>
        <a:noFill/>
        <a:ln w="9525">
          <a:noFill/>
        </a:ln>
      </xdr:spPr>
    </xdr:pic>
  </etc:cellImage>
  <etc:cellImage>
    <xdr:pic>
      <xdr:nvPicPr>
        <xdr:cNvPr id="732" name="ID_F83C636F51114EB2A8890C2308F11542"/>
        <xdr:cNvPicPr>
          <a:picLocks noChangeAspect="1"/>
        </xdr:cNvPicPr>
      </xdr:nvPicPr>
      <xdr:blipFill>
        <a:blip r:embed="rId427"/>
        <a:stretch>
          <a:fillRect/>
        </a:stretch>
      </xdr:blipFill>
      <xdr:spPr>
        <a:xfrm>
          <a:off x="7472680" y="10282555"/>
          <a:ext cx="780415" cy="846455"/>
        </a:xfrm>
        <a:prstGeom prst="rect">
          <a:avLst/>
        </a:prstGeom>
        <a:noFill/>
        <a:ln w="9525">
          <a:noFill/>
        </a:ln>
      </xdr:spPr>
    </xdr:pic>
  </etc:cellImage>
  <etc:cellImage>
    <xdr:pic>
      <xdr:nvPicPr>
        <xdr:cNvPr id="792" name="ID_F812EA2B40D2445589E4ABAE6AB431D2"/>
        <xdr:cNvPicPr>
          <a:picLocks noChangeAspect="1"/>
        </xdr:cNvPicPr>
      </xdr:nvPicPr>
      <xdr:blipFill>
        <a:blip r:embed="rId428"/>
        <a:stretch>
          <a:fillRect/>
        </a:stretch>
      </xdr:blipFill>
      <xdr:spPr>
        <a:xfrm>
          <a:off x="7660640" y="69444870"/>
          <a:ext cx="821690" cy="826770"/>
        </a:xfrm>
        <a:prstGeom prst="rect">
          <a:avLst/>
        </a:prstGeom>
        <a:noFill/>
        <a:ln w="9525">
          <a:noFill/>
        </a:ln>
      </xdr:spPr>
    </xdr:pic>
  </etc:cellImage>
  <etc:cellImage>
    <xdr:pic>
      <xdr:nvPicPr>
        <xdr:cNvPr id="769" name="ID_BAD7C32EAD534DEAA5EAA50396369E2E"/>
        <xdr:cNvPicPr>
          <a:picLocks noChangeAspect="1"/>
        </xdr:cNvPicPr>
      </xdr:nvPicPr>
      <xdr:blipFill>
        <a:blip r:embed="rId429"/>
        <a:stretch>
          <a:fillRect/>
        </a:stretch>
      </xdr:blipFill>
      <xdr:spPr>
        <a:xfrm>
          <a:off x="7329805" y="39770050"/>
          <a:ext cx="566420" cy="731520"/>
        </a:xfrm>
        <a:prstGeom prst="rect">
          <a:avLst/>
        </a:prstGeom>
        <a:noFill/>
        <a:ln w="9525">
          <a:noFill/>
        </a:ln>
      </xdr:spPr>
    </xdr:pic>
  </etc:cellImage>
  <etc:cellImage>
    <xdr:pic>
      <xdr:nvPicPr>
        <xdr:cNvPr id="746" name="ID_C1397BA6D26E4E69B5A527B35F4848ED"/>
        <xdr:cNvPicPr>
          <a:picLocks noChangeAspect="1"/>
        </xdr:cNvPicPr>
      </xdr:nvPicPr>
      <xdr:blipFill>
        <a:blip r:embed="rId430"/>
        <a:stretch>
          <a:fillRect/>
        </a:stretch>
      </xdr:blipFill>
      <xdr:spPr>
        <a:xfrm>
          <a:off x="7370445" y="78143100"/>
          <a:ext cx="648335" cy="662940"/>
        </a:xfrm>
        <a:prstGeom prst="rect">
          <a:avLst/>
        </a:prstGeom>
        <a:noFill/>
        <a:ln w="9525">
          <a:noFill/>
        </a:ln>
      </xdr:spPr>
    </xdr:pic>
  </etc:cellImage>
  <etc:cellImage>
    <xdr:pic>
      <xdr:nvPicPr>
        <xdr:cNvPr id="735" name="ID_773C7FB128794E2DA7559D11DDC9BFD0"/>
        <xdr:cNvPicPr>
          <a:picLocks noChangeAspect="1"/>
        </xdr:cNvPicPr>
      </xdr:nvPicPr>
      <xdr:blipFill>
        <a:blip r:embed="rId431"/>
        <a:stretch>
          <a:fillRect/>
        </a:stretch>
      </xdr:blipFill>
      <xdr:spPr>
        <a:xfrm>
          <a:off x="7527925" y="11556365"/>
          <a:ext cx="1043305" cy="816610"/>
        </a:xfrm>
        <a:prstGeom prst="rect">
          <a:avLst/>
        </a:prstGeom>
        <a:noFill/>
        <a:ln w="9525">
          <a:noFill/>
        </a:ln>
      </xdr:spPr>
    </xdr:pic>
  </etc:cellImage>
  <etc:cellImage>
    <xdr:pic>
      <xdr:nvPicPr>
        <xdr:cNvPr id="782" name="ID_0C3FE28C70054FE38C83B27F6981DB8B"/>
        <xdr:cNvPicPr>
          <a:picLocks noChangeAspect="1"/>
        </xdr:cNvPicPr>
      </xdr:nvPicPr>
      <xdr:blipFill>
        <a:blip r:embed="rId432"/>
        <a:stretch>
          <a:fillRect/>
        </a:stretch>
      </xdr:blipFill>
      <xdr:spPr>
        <a:xfrm>
          <a:off x="7362190" y="53427630"/>
          <a:ext cx="782320" cy="763270"/>
        </a:xfrm>
        <a:prstGeom prst="rect">
          <a:avLst/>
        </a:prstGeom>
        <a:noFill/>
        <a:ln w="9525">
          <a:noFill/>
        </a:ln>
      </xdr:spPr>
    </xdr:pic>
  </etc:cellImage>
  <etc:cellImage>
    <xdr:pic>
      <xdr:nvPicPr>
        <xdr:cNvPr id="736" name="ID_00CBF94E00744DFE8BA20D69EB5215E7"/>
        <xdr:cNvPicPr>
          <a:picLocks noChangeAspect="1"/>
        </xdr:cNvPicPr>
      </xdr:nvPicPr>
      <xdr:blipFill>
        <a:blip r:embed="rId433"/>
        <a:stretch>
          <a:fillRect/>
        </a:stretch>
      </xdr:blipFill>
      <xdr:spPr>
        <a:xfrm>
          <a:off x="7423785" y="12618085"/>
          <a:ext cx="1332230" cy="992505"/>
        </a:xfrm>
        <a:prstGeom prst="rect">
          <a:avLst/>
        </a:prstGeom>
        <a:noFill/>
        <a:ln w="9525">
          <a:noFill/>
        </a:ln>
      </xdr:spPr>
    </xdr:pic>
  </etc:cellImage>
  <etc:cellImage>
    <xdr:pic>
      <xdr:nvPicPr>
        <xdr:cNvPr id="739" name="ID_8427022559184C4DA953D7F227DEA1CE"/>
        <xdr:cNvPicPr>
          <a:picLocks noChangeAspect="1"/>
        </xdr:cNvPicPr>
      </xdr:nvPicPr>
      <xdr:blipFill>
        <a:blip r:embed="rId434"/>
        <a:stretch>
          <a:fillRect/>
        </a:stretch>
      </xdr:blipFill>
      <xdr:spPr>
        <a:xfrm>
          <a:off x="7424420" y="14059535"/>
          <a:ext cx="1395730" cy="1036955"/>
        </a:xfrm>
        <a:prstGeom prst="rect">
          <a:avLst/>
        </a:prstGeom>
        <a:noFill/>
        <a:ln w="9525">
          <a:noFill/>
        </a:ln>
      </xdr:spPr>
    </xdr:pic>
  </etc:cellImage>
  <etc:cellImage>
    <xdr:pic>
      <xdr:nvPicPr>
        <xdr:cNvPr id="762" name="ID_342FD90C8DD047C5850026D0F4E3062D"/>
        <xdr:cNvPicPr>
          <a:picLocks noChangeAspect="1"/>
        </xdr:cNvPicPr>
      </xdr:nvPicPr>
      <xdr:blipFill>
        <a:blip r:embed="rId435"/>
        <a:stretch>
          <a:fillRect/>
        </a:stretch>
      </xdr:blipFill>
      <xdr:spPr>
        <a:xfrm>
          <a:off x="7305675" y="29300170"/>
          <a:ext cx="562610" cy="751205"/>
        </a:xfrm>
        <a:prstGeom prst="rect">
          <a:avLst/>
        </a:prstGeom>
        <a:noFill/>
        <a:ln w="9525">
          <a:noFill/>
        </a:ln>
      </xdr:spPr>
    </xdr:pic>
  </etc:cellImage>
  <etc:cellImage>
    <xdr:pic>
      <xdr:nvPicPr>
        <xdr:cNvPr id="741" name="ID_BBE94D4B00224CC4A02CAF8028394521"/>
        <xdr:cNvPicPr>
          <a:picLocks noChangeAspect="1"/>
        </xdr:cNvPicPr>
      </xdr:nvPicPr>
      <xdr:blipFill>
        <a:blip r:embed="rId436"/>
        <a:stretch>
          <a:fillRect/>
        </a:stretch>
      </xdr:blipFill>
      <xdr:spPr>
        <a:xfrm>
          <a:off x="7366635" y="15480030"/>
          <a:ext cx="880745" cy="764540"/>
        </a:xfrm>
        <a:prstGeom prst="rect">
          <a:avLst/>
        </a:prstGeom>
        <a:noFill/>
        <a:ln w="9525">
          <a:noFill/>
        </a:ln>
      </xdr:spPr>
    </xdr:pic>
  </etc:cellImage>
  <etc:cellImage>
    <xdr:pic>
      <xdr:nvPicPr>
        <xdr:cNvPr id="767" name="ID_A218DDFD1F9E45FF88DCD07905744DF1"/>
        <xdr:cNvPicPr>
          <a:picLocks noChangeAspect="1"/>
        </xdr:cNvPicPr>
      </xdr:nvPicPr>
      <xdr:blipFill>
        <a:blip r:embed="rId437"/>
        <a:stretch>
          <a:fillRect/>
        </a:stretch>
      </xdr:blipFill>
      <xdr:spPr>
        <a:xfrm>
          <a:off x="7293610" y="35973385"/>
          <a:ext cx="746760" cy="721995"/>
        </a:xfrm>
        <a:prstGeom prst="rect">
          <a:avLst/>
        </a:prstGeom>
        <a:noFill/>
        <a:ln w="9525">
          <a:noFill/>
        </a:ln>
      </xdr:spPr>
    </xdr:pic>
  </etc:cellImage>
  <etc:cellImage>
    <xdr:pic>
      <xdr:nvPicPr>
        <xdr:cNvPr id="744" name="ID_A770C8F899244D0FBCDED21D40B4DA63"/>
        <xdr:cNvPicPr>
          <a:picLocks noChangeAspect="1"/>
        </xdr:cNvPicPr>
      </xdr:nvPicPr>
      <xdr:blipFill>
        <a:blip r:embed="rId438"/>
        <a:stretch>
          <a:fillRect/>
        </a:stretch>
      </xdr:blipFill>
      <xdr:spPr>
        <a:xfrm>
          <a:off x="7339965" y="17191355"/>
          <a:ext cx="694055" cy="630555"/>
        </a:xfrm>
        <a:prstGeom prst="rect">
          <a:avLst/>
        </a:prstGeom>
        <a:noFill/>
        <a:ln w="9525">
          <a:noFill/>
        </a:ln>
      </xdr:spPr>
    </xdr:pic>
  </etc:cellImage>
  <etc:cellImage>
    <xdr:pic>
      <xdr:nvPicPr>
        <xdr:cNvPr id="747" name="ID_CED94BE1EF0C46BF91D1BFB6F8FCCB4D"/>
        <xdr:cNvPicPr>
          <a:picLocks noChangeAspect="1"/>
        </xdr:cNvPicPr>
      </xdr:nvPicPr>
      <xdr:blipFill>
        <a:blip r:embed="rId439"/>
        <a:stretch>
          <a:fillRect/>
        </a:stretch>
      </xdr:blipFill>
      <xdr:spPr>
        <a:xfrm>
          <a:off x="7312025" y="17997170"/>
          <a:ext cx="722630" cy="583565"/>
        </a:xfrm>
        <a:prstGeom prst="rect">
          <a:avLst/>
        </a:prstGeom>
        <a:noFill/>
        <a:ln w="9525">
          <a:noFill/>
        </a:ln>
      </xdr:spPr>
    </xdr:pic>
  </etc:cellImage>
  <etc:cellImage>
    <xdr:pic>
      <xdr:nvPicPr>
        <xdr:cNvPr id="794" name="ID_2969C3A3F2784799A84E6CEA35A1BC9F"/>
        <xdr:cNvPicPr>
          <a:picLocks noChangeAspect="1"/>
        </xdr:cNvPicPr>
      </xdr:nvPicPr>
      <xdr:blipFill>
        <a:blip r:embed="rId440"/>
        <a:stretch>
          <a:fillRect/>
        </a:stretch>
      </xdr:blipFill>
      <xdr:spPr>
        <a:xfrm>
          <a:off x="7931150" y="72285860"/>
          <a:ext cx="788670" cy="793750"/>
        </a:xfrm>
        <a:prstGeom prst="rect">
          <a:avLst/>
        </a:prstGeom>
        <a:noFill/>
        <a:ln w="9525">
          <a:noFill/>
        </a:ln>
      </xdr:spPr>
    </xdr:pic>
  </etc:cellImage>
  <etc:cellImage>
    <xdr:pic>
      <xdr:nvPicPr>
        <xdr:cNvPr id="748" name="ID_61BD018019C6428E893F180DB3AE17B0"/>
        <xdr:cNvPicPr>
          <a:picLocks noChangeAspect="1"/>
        </xdr:cNvPicPr>
      </xdr:nvPicPr>
      <xdr:blipFill>
        <a:blip r:embed="rId441"/>
        <a:stretch>
          <a:fillRect/>
        </a:stretch>
      </xdr:blipFill>
      <xdr:spPr>
        <a:xfrm>
          <a:off x="7211060" y="18844260"/>
          <a:ext cx="1087755" cy="1102360"/>
        </a:xfrm>
        <a:prstGeom prst="rect">
          <a:avLst/>
        </a:prstGeom>
        <a:noFill/>
        <a:ln w="9525">
          <a:noFill/>
        </a:ln>
      </xdr:spPr>
    </xdr:pic>
  </etc:cellImage>
  <etc:cellImage>
    <xdr:pic>
      <xdr:nvPicPr>
        <xdr:cNvPr id="784" name="ID_9F61F51EFE5A4EF38AAD52AD2D358F2C"/>
        <xdr:cNvPicPr>
          <a:picLocks noChangeAspect="1"/>
        </xdr:cNvPicPr>
      </xdr:nvPicPr>
      <xdr:blipFill>
        <a:blip r:embed="rId442"/>
        <a:stretch>
          <a:fillRect/>
        </a:stretch>
      </xdr:blipFill>
      <xdr:spPr>
        <a:xfrm>
          <a:off x="7913370" y="54944645"/>
          <a:ext cx="804545" cy="707390"/>
        </a:xfrm>
        <a:prstGeom prst="rect">
          <a:avLst/>
        </a:prstGeom>
        <a:noFill/>
        <a:ln w="9525">
          <a:noFill/>
        </a:ln>
      </xdr:spPr>
    </xdr:pic>
  </etc:cellImage>
  <etc:cellImage>
    <xdr:pic>
      <xdr:nvPicPr>
        <xdr:cNvPr id="725" name="ID_44DDC31F0548484788ED6D2A67640F9E"/>
        <xdr:cNvPicPr>
          <a:picLocks noChangeAspect="1"/>
        </xdr:cNvPicPr>
      </xdr:nvPicPr>
      <xdr:blipFill>
        <a:blip r:embed="rId443"/>
        <a:stretch>
          <a:fillRect/>
        </a:stretch>
      </xdr:blipFill>
      <xdr:spPr>
        <a:xfrm>
          <a:off x="7237730" y="20401915"/>
          <a:ext cx="926465" cy="750570"/>
        </a:xfrm>
        <a:prstGeom prst="rect">
          <a:avLst/>
        </a:prstGeom>
        <a:noFill/>
        <a:ln w="9525">
          <a:noFill/>
        </a:ln>
      </xdr:spPr>
    </xdr:pic>
  </etc:cellImage>
  <etc:cellImage>
    <xdr:pic>
      <xdr:nvPicPr>
        <xdr:cNvPr id="728" name="ID_6554EA5DAF224034A4D1422D7D9DBEB1"/>
        <xdr:cNvPicPr>
          <a:picLocks noChangeAspect="1"/>
        </xdr:cNvPicPr>
      </xdr:nvPicPr>
      <xdr:blipFill>
        <a:blip r:embed="rId444"/>
        <a:stretch>
          <a:fillRect/>
        </a:stretch>
      </xdr:blipFill>
      <xdr:spPr>
        <a:xfrm>
          <a:off x="7187565" y="30108525"/>
          <a:ext cx="711200" cy="698500"/>
        </a:xfrm>
        <a:prstGeom prst="rect">
          <a:avLst/>
        </a:prstGeom>
        <a:noFill/>
        <a:ln w="9525">
          <a:noFill/>
        </a:ln>
      </xdr:spPr>
    </xdr:pic>
  </etc:cellImage>
  <etc:cellImage>
    <xdr:pic>
      <xdr:nvPicPr>
        <xdr:cNvPr id="722" name="ID_99616E004FB040068E5167C8977A1F46"/>
        <xdr:cNvPicPr>
          <a:picLocks noChangeAspect="1"/>
        </xdr:cNvPicPr>
      </xdr:nvPicPr>
      <xdr:blipFill>
        <a:blip r:embed="rId445"/>
        <a:stretch>
          <a:fillRect/>
        </a:stretch>
      </xdr:blipFill>
      <xdr:spPr>
        <a:xfrm>
          <a:off x="7196455" y="22390100"/>
          <a:ext cx="549910" cy="707390"/>
        </a:xfrm>
        <a:prstGeom prst="rect">
          <a:avLst/>
        </a:prstGeom>
        <a:noFill/>
        <a:ln w="9525">
          <a:noFill/>
        </a:ln>
      </xdr:spPr>
    </xdr:pic>
  </etc:cellImage>
  <etc:cellImage>
    <xdr:pic>
      <xdr:nvPicPr>
        <xdr:cNvPr id="798" name="ID_CE19CD4174114FE4A0F053E7CE94153E"/>
        <xdr:cNvPicPr>
          <a:picLocks noChangeAspect="1"/>
        </xdr:cNvPicPr>
      </xdr:nvPicPr>
      <xdr:blipFill>
        <a:blip r:embed="rId446"/>
        <a:stretch>
          <a:fillRect/>
        </a:stretch>
      </xdr:blipFill>
      <xdr:spPr>
        <a:xfrm>
          <a:off x="7402195" y="75830430"/>
          <a:ext cx="863600" cy="1106170"/>
        </a:xfrm>
        <a:prstGeom prst="rect">
          <a:avLst/>
        </a:prstGeom>
        <a:noFill/>
        <a:ln w="9525">
          <a:noFill/>
        </a:ln>
      </xdr:spPr>
    </xdr:pic>
  </etc:cellImage>
  <etc:cellImage>
    <xdr:pic>
      <xdr:nvPicPr>
        <xdr:cNvPr id="775" name="ID_1C094F6BF9AC4E2EB9E61140AE98A6C7"/>
        <xdr:cNvPicPr>
          <a:picLocks noChangeAspect="1"/>
        </xdr:cNvPicPr>
      </xdr:nvPicPr>
      <xdr:blipFill>
        <a:blip r:embed="rId447"/>
        <a:stretch>
          <a:fillRect/>
        </a:stretch>
      </xdr:blipFill>
      <xdr:spPr>
        <a:xfrm>
          <a:off x="7938770" y="57885965"/>
          <a:ext cx="711835" cy="631190"/>
        </a:xfrm>
        <a:prstGeom prst="rect">
          <a:avLst/>
        </a:prstGeom>
        <a:noFill/>
        <a:ln w="9525">
          <a:noFill/>
        </a:ln>
      </xdr:spPr>
    </xdr:pic>
  </etc:cellImage>
  <etc:cellImage>
    <xdr:pic>
      <xdr:nvPicPr>
        <xdr:cNvPr id="752" name="ID_7C1D28029FF74DEC82893E86010E3876"/>
        <xdr:cNvPicPr>
          <a:picLocks noChangeAspect="1"/>
        </xdr:cNvPicPr>
      </xdr:nvPicPr>
      <xdr:blipFill>
        <a:blip r:embed="rId448"/>
        <a:stretch>
          <a:fillRect/>
        </a:stretch>
      </xdr:blipFill>
      <xdr:spPr>
        <a:xfrm>
          <a:off x="7196455" y="23164165"/>
          <a:ext cx="560070" cy="680720"/>
        </a:xfrm>
        <a:prstGeom prst="rect">
          <a:avLst/>
        </a:prstGeom>
        <a:noFill/>
        <a:ln w="9525">
          <a:noFill/>
        </a:ln>
      </xdr:spPr>
    </xdr:pic>
  </etc:cellImage>
  <etc:cellImage>
    <xdr:pic>
      <xdr:nvPicPr>
        <xdr:cNvPr id="754" name="ID_016C9E93FA074234B90748944ACDB21B"/>
        <xdr:cNvPicPr>
          <a:picLocks noChangeAspect="1"/>
        </xdr:cNvPicPr>
      </xdr:nvPicPr>
      <xdr:blipFill>
        <a:blip r:embed="rId449"/>
        <a:stretch>
          <a:fillRect/>
        </a:stretch>
      </xdr:blipFill>
      <xdr:spPr>
        <a:xfrm>
          <a:off x="7306945" y="23922990"/>
          <a:ext cx="561340" cy="733425"/>
        </a:xfrm>
        <a:prstGeom prst="rect">
          <a:avLst/>
        </a:prstGeom>
        <a:noFill/>
        <a:ln w="9525">
          <a:noFill/>
        </a:ln>
      </xdr:spPr>
    </xdr:pic>
  </etc:cellImage>
  <etc:cellImage>
    <xdr:pic>
      <xdr:nvPicPr>
        <xdr:cNvPr id="755" name="ID_030502C363D14AEC8279EAAD9093D914"/>
        <xdr:cNvPicPr>
          <a:picLocks noChangeAspect="1"/>
        </xdr:cNvPicPr>
      </xdr:nvPicPr>
      <xdr:blipFill>
        <a:blip r:embed="rId450"/>
        <a:stretch>
          <a:fillRect/>
        </a:stretch>
      </xdr:blipFill>
      <xdr:spPr>
        <a:xfrm>
          <a:off x="7282815" y="24948515"/>
          <a:ext cx="650240" cy="736600"/>
        </a:xfrm>
        <a:prstGeom prst="rect">
          <a:avLst/>
        </a:prstGeom>
        <a:noFill/>
        <a:ln w="9525">
          <a:noFill/>
        </a:ln>
      </xdr:spPr>
    </xdr:pic>
  </etc:cellImage>
  <etc:cellImage>
    <xdr:pic>
      <xdr:nvPicPr>
        <xdr:cNvPr id="779" name="ID_410FE1798BEC462CAD11865BA774DD91"/>
        <xdr:cNvPicPr>
          <a:picLocks noChangeAspect="1"/>
        </xdr:cNvPicPr>
      </xdr:nvPicPr>
      <xdr:blipFill>
        <a:blip r:embed="rId451"/>
        <a:stretch>
          <a:fillRect/>
        </a:stretch>
      </xdr:blipFill>
      <xdr:spPr>
        <a:xfrm>
          <a:off x="7243445" y="50488215"/>
          <a:ext cx="605790" cy="582930"/>
        </a:xfrm>
        <a:prstGeom prst="rect">
          <a:avLst/>
        </a:prstGeom>
        <a:noFill/>
        <a:ln w="9525">
          <a:noFill/>
        </a:ln>
      </xdr:spPr>
    </xdr:pic>
  </etc:cellImage>
  <etc:cellImage>
    <xdr:pic>
      <xdr:nvPicPr>
        <xdr:cNvPr id="756" name="ID_ED03410836A341668B8D2E7C6FC1DE76"/>
        <xdr:cNvPicPr>
          <a:picLocks noChangeAspect="1"/>
        </xdr:cNvPicPr>
      </xdr:nvPicPr>
      <xdr:blipFill>
        <a:blip r:embed="rId452"/>
        <a:stretch>
          <a:fillRect/>
        </a:stretch>
      </xdr:blipFill>
      <xdr:spPr>
        <a:xfrm>
          <a:off x="7341870" y="25916890"/>
          <a:ext cx="765810" cy="742950"/>
        </a:xfrm>
        <a:prstGeom prst="rect">
          <a:avLst/>
        </a:prstGeom>
        <a:noFill/>
        <a:ln w="9525">
          <a:noFill/>
        </a:ln>
      </xdr:spPr>
    </xdr:pic>
  </etc:cellImage>
  <etc:cellImage>
    <xdr:pic>
      <xdr:nvPicPr>
        <xdr:cNvPr id="761" name="ID_510E6FCD398C49D2B86C2AABDD7BD6E4"/>
        <xdr:cNvPicPr>
          <a:picLocks noChangeAspect="1"/>
        </xdr:cNvPicPr>
      </xdr:nvPicPr>
      <xdr:blipFill>
        <a:blip r:embed="rId453"/>
        <a:stretch>
          <a:fillRect/>
        </a:stretch>
      </xdr:blipFill>
      <xdr:spPr>
        <a:xfrm>
          <a:off x="7281545" y="28465780"/>
          <a:ext cx="728980" cy="737870"/>
        </a:xfrm>
        <a:prstGeom prst="rect">
          <a:avLst/>
        </a:prstGeom>
        <a:noFill/>
        <a:ln w="9525">
          <a:noFill/>
        </a:ln>
      </xdr:spPr>
    </xdr:pic>
  </etc:cellImage>
  <etc:cellImage>
    <xdr:pic>
      <xdr:nvPicPr>
        <xdr:cNvPr id="764" name="ID_6725879D2DCD4D55A714C6EBFE67FABE"/>
        <xdr:cNvPicPr>
          <a:picLocks noChangeAspect="1"/>
        </xdr:cNvPicPr>
      </xdr:nvPicPr>
      <xdr:blipFill>
        <a:blip r:embed="rId454"/>
        <a:stretch>
          <a:fillRect/>
        </a:stretch>
      </xdr:blipFill>
      <xdr:spPr>
        <a:xfrm>
          <a:off x="7937500" y="31081980"/>
          <a:ext cx="721360" cy="732790"/>
        </a:xfrm>
        <a:prstGeom prst="rect">
          <a:avLst/>
        </a:prstGeom>
        <a:noFill/>
        <a:ln w="9525">
          <a:noFill/>
        </a:ln>
      </xdr:spPr>
    </xdr:pic>
  </etc:cellImage>
  <etc:cellImage>
    <xdr:pic>
      <xdr:nvPicPr>
        <xdr:cNvPr id="765" name="ID_E29EFFD0B76D4A60AD560A1814BAFC70"/>
        <xdr:cNvPicPr>
          <a:picLocks noChangeAspect="1"/>
        </xdr:cNvPicPr>
      </xdr:nvPicPr>
      <xdr:blipFill>
        <a:blip r:embed="rId455"/>
        <a:stretch>
          <a:fillRect/>
        </a:stretch>
      </xdr:blipFill>
      <xdr:spPr>
        <a:xfrm>
          <a:off x="7948930" y="32217360"/>
          <a:ext cx="749300" cy="745490"/>
        </a:xfrm>
        <a:prstGeom prst="rect">
          <a:avLst/>
        </a:prstGeom>
        <a:noFill/>
        <a:ln w="9525">
          <a:noFill/>
        </a:ln>
      </xdr:spPr>
    </xdr:pic>
  </etc:cellImage>
  <etc:cellImage>
    <xdr:pic>
      <xdr:nvPicPr>
        <xdr:cNvPr id="730" name="ID_4C00E2CC0AE1475486617D0EAAAB3D14"/>
        <xdr:cNvPicPr>
          <a:picLocks noChangeAspect="1"/>
        </xdr:cNvPicPr>
      </xdr:nvPicPr>
      <xdr:blipFill>
        <a:blip r:embed="rId456"/>
        <a:stretch>
          <a:fillRect/>
        </a:stretch>
      </xdr:blipFill>
      <xdr:spPr>
        <a:xfrm>
          <a:off x="8013065" y="33234630"/>
          <a:ext cx="643255" cy="730250"/>
        </a:xfrm>
        <a:prstGeom prst="rect">
          <a:avLst/>
        </a:prstGeom>
        <a:noFill/>
        <a:ln w="9525">
          <a:noFill/>
        </a:ln>
      </xdr:spPr>
    </xdr:pic>
  </etc:cellImage>
  <etc:cellImage>
    <xdr:pic>
      <xdr:nvPicPr>
        <xdr:cNvPr id="731" name="ID_77B1A7F8C4BF43029BFD86C366B61149"/>
        <xdr:cNvPicPr>
          <a:picLocks noChangeAspect="1"/>
        </xdr:cNvPicPr>
      </xdr:nvPicPr>
      <xdr:blipFill>
        <a:blip r:embed="rId457"/>
        <a:stretch>
          <a:fillRect/>
        </a:stretch>
      </xdr:blipFill>
      <xdr:spPr>
        <a:xfrm>
          <a:off x="7386320" y="34124900"/>
          <a:ext cx="1015365" cy="724535"/>
        </a:xfrm>
        <a:prstGeom prst="rect">
          <a:avLst/>
        </a:prstGeom>
        <a:noFill/>
        <a:ln w="9525">
          <a:noFill/>
        </a:ln>
      </xdr:spPr>
    </xdr:pic>
  </etc:cellImage>
  <etc:cellImage>
    <xdr:pic>
      <xdr:nvPicPr>
        <xdr:cNvPr id="768" name="ID_14C1A846DF214478A65B1A450BFD31B0"/>
        <xdr:cNvPicPr>
          <a:picLocks noChangeAspect="1"/>
        </xdr:cNvPicPr>
      </xdr:nvPicPr>
      <xdr:blipFill>
        <a:blip r:embed="rId458"/>
        <a:stretch>
          <a:fillRect/>
        </a:stretch>
      </xdr:blipFill>
      <xdr:spPr>
        <a:xfrm>
          <a:off x="7401560" y="36901755"/>
          <a:ext cx="764540" cy="725805"/>
        </a:xfrm>
        <a:prstGeom prst="rect">
          <a:avLst/>
        </a:prstGeom>
        <a:noFill/>
        <a:ln w="9525">
          <a:noFill/>
        </a:ln>
      </xdr:spPr>
    </xdr:pic>
  </etc:cellImage>
  <etc:cellImage>
    <xdr:pic>
      <xdr:nvPicPr>
        <xdr:cNvPr id="733" name="ID_4F07C61F796A4DAA95C1A7C4DD034F87"/>
        <xdr:cNvPicPr>
          <a:picLocks noChangeAspect="1"/>
        </xdr:cNvPicPr>
      </xdr:nvPicPr>
      <xdr:blipFill>
        <a:blip r:embed="rId459"/>
        <a:stretch>
          <a:fillRect/>
        </a:stretch>
      </xdr:blipFill>
      <xdr:spPr>
        <a:xfrm>
          <a:off x="7208520" y="37781230"/>
          <a:ext cx="724535" cy="724535"/>
        </a:xfrm>
        <a:prstGeom prst="rect">
          <a:avLst/>
        </a:prstGeom>
        <a:noFill/>
        <a:ln w="9525">
          <a:noFill/>
        </a:ln>
      </xdr:spPr>
    </xdr:pic>
  </etc:cellImage>
  <etc:cellImage>
    <xdr:pic>
      <xdr:nvPicPr>
        <xdr:cNvPr id="753" name="ID_6F21763700C94C5FBC99B39CEE20C445"/>
        <xdr:cNvPicPr>
          <a:picLocks noChangeAspect="1"/>
        </xdr:cNvPicPr>
      </xdr:nvPicPr>
      <xdr:blipFill>
        <a:blip r:embed="rId460"/>
        <a:stretch>
          <a:fillRect/>
        </a:stretch>
      </xdr:blipFill>
      <xdr:spPr>
        <a:xfrm>
          <a:off x="7312025" y="38764210"/>
          <a:ext cx="717550" cy="688340"/>
        </a:xfrm>
        <a:prstGeom prst="rect">
          <a:avLst/>
        </a:prstGeom>
        <a:noFill/>
        <a:ln w="9525">
          <a:noFill/>
        </a:ln>
      </xdr:spPr>
    </xdr:pic>
  </etc:cellImage>
  <etc:cellImage>
    <xdr:pic>
      <xdr:nvPicPr>
        <xdr:cNvPr id="772" name="ID_9005478BD97340A7B73D9A8C540F298F"/>
        <xdr:cNvPicPr>
          <a:picLocks noChangeAspect="1"/>
        </xdr:cNvPicPr>
      </xdr:nvPicPr>
      <xdr:blipFill>
        <a:blip r:embed="rId461"/>
        <a:stretch>
          <a:fillRect/>
        </a:stretch>
      </xdr:blipFill>
      <xdr:spPr>
        <a:xfrm>
          <a:off x="7310755" y="43068875"/>
          <a:ext cx="819150" cy="862965"/>
        </a:xfrm>
        <a:prstGeom prst="rect">
          <a:avLst/>
        </a:prstGeom>
        <a:noFill/>
        <a:ln w="9525">
          <a:noFill/>
        </a:ln>
      </xdr:spPr>
    </xdr:pic>
  </etc:cellImage>
  <etc:cellImage>
    <xdr:pic>
      <xdr:nvPicPr>
        <xdr:cNvPr id="786" name="ID_58CC5A134C7544F2A3C18D00BDF75942"/>
        <xdr:cNvPicPr>
          <a:picLocks noChangeAspect="1"/>
        </xdr:cNvPicPr>
      </xdr:nvPicPr>
      <xdr:blipFill>
        <a:blip r:embed="rId462"/>
        <a:stretch>
          <a:fillRect/>
        </a:stretch>
      </xdr:blipFill>
      <xdr:spPr>
        <a:xfrm>
          <a:off x="7967980" y="61011435"/>
          <a:ext cx="746760" cy="757555"/>
        </a:xfrm>
        <a:prstGeom prst="rect">
          <a:avLst/>
        </a:prstGeom>
        <a:noFill/>
        <a:ln w="9525">
          <a:noFill/>
        </a:ln>
      </xdr:spPr>
    </xdr:pic>
  </etc:cellImage>
  <etc:cellImage>
    <xdr:pic>
      <xdr:nvPicPr>
        <xdr:cNvPr id="740" name="ID_E0246F09665D48FC85EFB3C684D0EACC"/>
        <xdr:cNvPicPr>
          <a:picLocks noChangeAspect="1"/>
        </xdr:cNvPicPr>
      </xdr:nvPicPr>
      <xdr:blipFill>
        <a:blip r:embed="rId463"/>
        <a:stretch>
          <a:fillRect/>
        </a:stretch>
      </xdr:blipFill>
      <xdr:spPr>
        <a:xfrm>
          <a:off x="7236460" y="44263310"/>
          <a:ext cx="1014095" cy="1154430"/>
        </a:xfrm>
        <a:prstGeom prst="rect">
          <a:avLst/>
        </a:prstGeom>
        <a:noFill/>
        <a:ln w="9525">
          <a:noFill/>
        </a:ln>
      </xdr:spPr>
    </xdr:pic>
  </etc:cellImage>
  <etc:cellImage>
    <xdr:pic>
      <xdr:nvPicPr>
        <xdr:cNvPr id="750" name="ID_31B7DD7F1F134CBF848F54CDBE9B801D"/>
        <xdr:cNvPicPr>
          <a:picLocks noChangeAspect="1"/>
        </xdr:cNvPicPr>
      </xdr:nvPicPr>
      <xdr:blipFill>
        <a:blip r:embed="rId464"/>
        <a:stretch>
          <a:fillRect/>
        </a:stretch>
      </xdr:blipFill>
      <xdr:spPr>
        <a:xfrm>
          <a:off x="7794625" y="56930925"/>
          <a:ext cx="990600" cy="933450"/>
        </a:xfrm>
        <a:prstGeom prst="rect">
          <a:avLst/>
        </a:prstGeom>
        <a:noFill/>
        <a:ln w="9525">
          <a:noFill/>
        </a:ln>
      </xdr:spPr>
    </xdr:pic>
  </etc:cellImage>
  <etc:cellImage>
    <xdr:pic>
      <xdr:nvPicPr>
        <xdr:cNvPr id="773" name="ID_D72DBDA8DD234B5A921802C259BA4B56"/>
        <xdr:cNvPicPr>
          <a:picLocks noChangeAspect="1"/>
        </xdr:cNvPicPr>
      </xdr:nvPicPr>
      <xdr:blipFill>
        <a:blip r:embed="rId465"/>
        <a:stretch>
          <a:fillRect/>
        </a:stretch>
      </xdr:blipFill>
      <xdr:spPr>
        <a:xfrm>
          <a:off x="7337425" y="45920660"/>
          <a:ext cx="922020" cy="1228090"/>
        </a:xfrm>
        <a:prstGeom prst="rect">
          <a:avLst/>
        </a:prstGeom>
        <a:noFill/>
        <a:ln w="9525">
          <a:noFill/>
        </a:ln>
      </xdr:spPr>
    </xdr:pic>
  </etc:cellImage>
  <etc:cellImage>
    <xdr:pic>
      <xdr:nvPicPr>
        <xdr:cNvPr id="751" name="ID_82E727C23F2C4ADC8A1C208FD5DD0A53"/>
        <xdr:cNvPicPr>
          <a:picLocks noChangeAspect="1"/>
        </xdr:cNvPicPr>
      </xdr:nvPicPr>
      <xdr:blipFill>
        <a:blip r:embed="rId466"/>
        <a:stretch>
          <a:fillRect/>
        </a:stretch>
      </xdr:blipFill>
      <xdr:spPr>
        <a:xfrm>
          <a:off x="7284085" y="47415450"/>
          <a:ext cx="586740" cy="615950"/>
        </a:xfrm>
        <a:prstGeom prst="rect">
          <a:avLst/>
        </a:prstGeom>
        <a:noFill/>
        <a:ln w="9525">
          <a:noFill/>
        </a:ln>
      </xdr:spPr>
    </xdr:pic>
  </etc:cellImage>
  <etc:cellImage>
    <xdr:pic>
      <xdr:nvPicPr>
        <xdr:cNvPr id="774" name="ID_067CFB6DD4CB48E68D46DD90BC8FC08E"/>
        <xdr:cNvPicPr>
          <a:picLocks noChangeAspect="1"/>
        </xdr:cNvPicPr>
      </xdr:nvPicPr>
      <xdr:blipFill>
        <a:blip r:embed="rId467"/>
        <a:stretch>
          <a:fillRect/>
        </a:stretch>
      </xdr:blipFill>
      <xdr:spPr>
        <a:xfrm>
          <a:off x="7195185" y="48131730"/>
          <a:ext cx="840740" cy="671195"/>
        </a:xfrm>
        <a:prstGeom prst="rect">
          <a:avLst/>
        </a:prstGeom>
        <a:noFill/>
        <a:ln w="9525">
          <a:noFill/>
        </a:ln>
      </xdr:spPr>
    </xdr:pic>
  </etc:cellImage>
  <etc:cellImage>
    <xdr:pic>
      <xdr:nvPicPr>
        <xdr:cNvPr id="776" name="ID_27FE77F9F3514AE194E75FED1FAF891C"/>
        <xdr:cNvPicPr>
          <a:picLocks noChangeAspect="1"/>
        </xdr:cNvPicPr>
      </xdr:nvPicPr>
      <xdr:blipFill>
        <a:blip r:embed="rId468"/>
        <a:stretch>
          <a:fillRect/>
        </a:stretch>
      </xdr:blipFill>
      <xdr:spPr>
        <a:xfrm>
          <a:off x="7266305" y="48927385"/>
          <a:ext cx="568325" cy="632460"/>
        </a:xfrm>
        <a:prstGeom prst="rect">
          <a:avLst/>
        </a:prstGeom>
        <a:noFill/>
        <a:ln w="9525">
          <a:noFill/>
        </a:ln>
      </xdr:spPr>
    </xdr:pic>
  </etc:cellImage>
  <etc:cellImage>
    <xdr:pic>
      <xdr:nvPicPr>
        <xdr:cNvPr id="778" name="ID_04C0F2549D324EF38ABE8CAFEE329C3E"/>
        <xdr:cNvPicPr>
          <a:picLocks noChangeAspect="1"/>
        </xdr:cNvPicPr>
      </xdr:nvPicPr>
      <xdr:blipFill>
        <a:blip r:embed="rId469"/>
        <a:stretch>
          <a:fillRect/>
        </a:stretch>
      </xdr:blipFill>
      <xdr:spPr>
        <a:xfrm>
          <a:off x="7218680" y="49646205"/>
          <a:ext cx="805180" cy="636905"/>
        </a:xfrm>
        <a:prstGeom prst="rect">
          <a:avLst/>
        </a:prstGeom>
        <a:noFill/>
        <a:ln w="9525">
          <a:noFill/>
        </a:ln>
      </xdr:spPr>
    </xdr:pic>
  </etc:cellImage>
  <etc:cellImage>
    <xdr:pic>
      <xdr:nvPicPr>
        <xdr:cNvPr id="759" name="ID_C8A8974577D947909A4F26C0793E2CC4"/>
        <xdr:cNvPicPr>
          <a:picLocks noChangeAspect="1"/>
        </xdr:cNvPicPr>
      </xdr:nvPicPr>
      <xdr:blipFill>
        <a:blip r:embed="rId470"/>
        <a:stretch>
          <a:fillRect/>
        </a:stretch>
      </xdr:blipFill>
      <xdr:spPr>
        <a:xfrm>
          <a:off x="7863205" y="51187350"/>
          <a:ext cx="708025" cy="550545"/>
        </a:xfrm>
        <a:prstGeom prst="rect">
          <a:avLst/>
        </a:prstGeom>
        <a:noFill/>
        <a:ln w="9525">
          <a:noFill/>
        </a:ln>
      </xdr:spPr>
    </xdr:pic>
  </etc:cellImage>
  <etc:cellImage>
    <xdr:pic>
      <xdr:nvPicPr>
        <xdr:cNvPr id="780" name="ID_ABD58D155F264FA6BBFD44E9F14B52B5"/>
        <xdr:cNvPicPr>
          <a:picLocks noChangeAspect="1"/>
        </xdr:cNvPicPr>
      </xdr:nvPicPr>
      <xdr:blipFill>
        <a:blip r:embed="rId471"/>
        <a:stretch>
          <a:fillRect/>
        </a:stretch>
      </xdr:blipFill>
      <xdr:spPr>
        <a:xfrm>
          <a:off x="7931150" y="58621295"/>
          <a:ext cx="705485" cy="739140"/>
        </a:xfrm>
        <a:prstGeom prst="rect">
          <a:avLst/>
        </a:prstGeom>
        <a:noFill/>
        <a:ln w="9525">
          <a:noFill/>
        </a:ln>
      </xdr:spPr>
    </xdr:pic>
  </etc:cellImage>
  <etc:cellImage>
    <xdr:pic>
      <xdr:nvPicPr>
        <xdr:cNvPr id="777" name="ID_95CF1935499C4DE7B85A90AB4A96133E"/>
        <xdr:cNvPicPr>
          <a:picLocks noChangeAspect="1"/>
        </xdr:cNvPicPr>
      </xdr:nvPicPr>
      <xdr:blipFill>
        <a:blip r:embed="rId472"/>
        <a:stretch>
          <a:fillRect/>
        </a:stretch>
      </xdr:blipFill>
      <xdr:spPr>
        <a:xfrm>
          <a:off x="8001000" y="60133230"/>
          <a:ext cx="713105" cy="680720"/>
        </a:xfrm>
        <a:prstGeom prst="rect">
          <a:avLst/>
        </a:prstGeom>
        <a:noFill/>
        <a:ln w="9525">
          <a:noFill/>
        </a:ln>
      </xdr:spPr>
    </xdr:pic>
  </etc:cellImage>
  <etc:cellImage>
    <xdr:pic>
      <xdr:nvPicPr>
        <xdr:cNvPr id="787" name="ID_94F8AF8042D649CB81F8655749304E64"/>
        <xdr:cNvPicPr>
          <a:picLocks noChangeAspect="1"/>
        </xdr:cNvPicPr>
      </xdr:nvPicPr>
      <xdr:blipFill>
        <a:blip r:embed="rId473"/>
        <a:stretch>
          <a:fillRect/>
        </a:stretch>
      </xdr:blipFill>
      <xdr:spPr>
        <a:xfrm>
          <a:off x="7994650" y="62998985"/>
          <a:ext cx="650875" cy="673735"/>
        </a:xfrm>
        <a:prstGeom prst="rect">
          <a:avLst/>
        </a:prstGeom>
        <a:noFill/>
        <a:ln w="9525">
          <a:noFill/>
        </a:ln>
      </xdr:spPr>
    </xdr:pic>
  </etc:cellImage>
  <etc:cellImage>
    <xdr:pic>
      <xdr:nvPicPr>
        <xdr:cNvPr id="788" name="ID_7D23160353494CCDB0A5CBDEC1CF1BAF"/>
        <xdr:cNvPicPr>
          <a:picLocks noChangeAspect="1"/>
        </xdr:cNvPicPr>
      </xdr:nvPicPr>
      <xdr:blipFill>
        <a:blip r:embed="rId474"/>
        <a:stretch>
          <a:fillRect/>
        </a:stretch>
      </xdr:blipFill>
      <xdr:spPr>
        <a:xfrm>
          <a:off x="7992110" y="63703835"/>
          <a:ext cx="455295" cy="739140"/>
        </a:xfrm>
        <a:prstGeom prst="rect">
          <a:avLst/>
        </a:prstGeom>
        <a:noFill/>
        <a:ln w="9525">
          <a:noFill/>
        </a:ln>
      </xdr:spPr>
    </xdr:pic>
  </etc:cellImage>
  <etc:cellImage>
    <xdr:pic>
      <xdr:nvPicPr>
        <xdr:cNvPr id="724" name="ID_EB75D0E34310430D8B167E4A1CA639C5"/>
        <xdr:cNvPicPr>
          <a:picLocks noChangeAspect="1"/>
        </xdr:cNvPicPr>
      </xdr:nvPicPr>
      <xdr:blipFill>
        <a:blip r:embed="rId474"/>
        <a:stretch>
          <a:fillRect/>
        </a:stretch>
      </xdr:blipFill>
      <xdr:spPr>
        <a:xfrm>
          <a:off x="7961630" y="64456945"/>
          <a:ext cx="455295" cy="739140"/>
        </a:xfrm>
        <a:prstGeom prst="rect">
          <a:avLst/>
        </a:prstGeom>
        <a:noFill/>
        <a:ln w="9525">
          <a:noFill/>
        </a:ln>
      </xdr:spPr>
    </xdr:pic>
  </etc:cellImage>
  <etc:cellImage>
    <xdr:pic>
      <xdr:nvPicPr>
        <xdr:cNvPr id="734" name="ID_C56C7CF9FA3F4B578F623A4D63DA1E75"/>
        <xdr:cNvPicPr>
          <a:picLocks noChangeAspect="1"/>
        </xdr:cNvPicPr>
      </xdr:nvPicPr>
      <xdr:blipFill>
        <a:blip r:embed="rId475"/>
        <a:stretch>
          <a:fillRect/>
        </a:stretch>
      </xdr:blipFill>
      <xdr:spPr>
        <a:xfrm>
          <a:off x="8121650" y="65313560"/>
          <a:ext cx="508000" cy="585470"/>
        </a:xfrm>
        <a:prstGeom prst="rect">
          <a:avLst/>
        </a:prstGeom>
        <a:noFill/>
        <a:ln w="9525">
          <a:noFill/>
        </a:ln>
      </xdr:spPr>
    </xdr:pic>
  </etc:cellImage>
  <etc:cellImage>
    <xdr:pic>
      <xdr:nvPicPr>
        <xdr:cNvPr id="789" name="ID_E1B7F02A78604C9B9500C7021F659C7D"/>
        <xdr:cNvPicPr>
          <a:picLocks noChangeAspect="1"/>
        </xdr:cNvPicPr>
      </xdr:nvPicPr>
      <xdr:blipFill>
        <a:blip r:embed="rId476"/>
        <a:stretch>
          <a:fillRect/>
        </a:stretch>
      </xdr:blipFill>
      <xdr:spPr>
        <a:xfrm>
          <a:off x="7714615" y="66057145"/>
          <a:ext cx="909955" cy="1076325"/>
        </a:xfrm>
        <a:prstGeom prst="rect">
          <a:avLst/>
        </a:prstGeom>
        <a:noFill/>
        <a:ln w="9525">
          <a:noFill/>
        </a:ln>
      </xdr:spPr>
    </xdr:pic>
  </etc:cellImage>
  <etc:cellImage>
    <xdr:pic>
      <xdr:nvPicPr>
        <xdr:cNvPr id="790" name="ID_B59A56BBC48A4663AF0CBFE56D3C4FC3"/>
        <xdr:cNvPicPr>
          <a:picLocks noChangeAspect="1"/>
        </xdr:cNvPicPr>
      </xdr:nvPicPr>
      <xdr:blipFill>
        <a:blip r:embed="rId477"/>
        <a:stretch>
          <a:fillRect/>
        </a:stretch>
      </xdr:blipFill>
      <xdr:spPr>
        <a:xfrm>
          <a:off x="7795260" y="67494150"/>
          <a:ext cx="1060450" cy="972185"/>
        </a:xfrm>
        <a:prstGeom prst="rect">
          <a:avLst/>
        </a:prstGeom>
        <a:noFill/>
        <a:ln w="9525">
          <a:noFill/>
        </a:ln>
      </xdr:spPr>
    </xdr:pic>
  </etc:cellImage>
  <etc:cellImage>
    <xdr:pic>
      <xdr:nvPicPr>
        <xdr:cNvPr id="791" name="ID_F4FCAC81F6B54BFAA5FF6F3D589012EC"/>
        <xdr:cNvPicPr>
          <a:picLocks noChangeAspect="1"/>
        </xdr:cNvPicPr>
      </xdr:nvPicPr>
      <xdr:blipFill>
        <a:blip r:embed="rId478"/>
        <a:stretch>
          <a:fillRect/>
        </a:stretch>
      </xdr:blipFill>
      <xdr:spPr>
        <a:xfrm>
          <a:off x="8034020" y="68616195"/>
          <a:ext cx="678815" cy="755650"/>
        </a:xfrm>
        <a:prstGeom prst="rect">
          <a:avLst/>
        </a:prstGeom>
        <a:noFill/>
        <a:ln w="9525">
          <a:noFill/>
        </a:ln>
      </xdr:spPr>
    </xdr:pic>
  </etc:cellImage>
  <etc:cellImage>
    <xdr:pic>
      <xdr:nvPicPr>
        <xdr:cNvPr id="763" name="ID_C2FE08D9F2E64C5E98401ACEB5FF57A3"/>
        <xdr:cNvPicPr>
          <a:picLocks noChangeAspect="1"/>
        </xdr:cNvPicPr>
      </xdr:nvPicPr>
      <xdr:blipFill>
        <a:blip r:embed="rId479"/>
        <a:stretch>
          <a:fillRect/>
        </a:stretch>
      </xdr:blipFill>
      <xdr:spPr>
        <a:xfrm>
          <a:off x="8028940" y="70613270"/>
          <a:ext cx="744220" cy="680085"/>
        </a:xfrm>
        <a:prstGeom prst="rect">
          <a:avLst/>
        </a:prstGeom>
        <a:noFill/>
        <a:ln w="9525">
          <a:noFill/>
        </a:ln>
      </xdr:spPr>
    </xdr:pic>
  </etc:cellImage>
  <etc:cellImage>
    <xdr:pic>
      <xdr:nvPicPr>
        <xdr:cNvPr id="793" name="ID_350D7B9636AC4B50B4EE401652AD8B4D"/>
        <xdr:cNvPicPr>
          <a:picLocks noChangeAspect="1"/>
        </xdr:cNvPicPr>
      </xdr:nvPicPr>
      <xdr:blipFill>
        <a:blip r:embed="rId480"/>
        <a:stretch>
          <a:fillRect/>
        </a:stretch>
      </xdr:blipFill>
      <xdr:spPr>
        <a:xfrm>
          <a:off x="7414895" y="71368920"/>
          <a:ext cx="797560" cy="809625"/>
        </a:xfrm>
        <a:prstGeom prst="rect">
          <a:avLst/>
        </a:prstGeom>
        <a:noFill/>
        <a:ln w="9525">
          <a:noFill/>
        </a:ln>
      </xdr:spPr>
    </xdr:pic>
  </etc:cellImage>
  <etc:cellImage>
    <xdr:pic>
      <xdr:nvPicPr>
        <xdr:cNvPr id="795" name="ID_2340F28883504F8692A955CD31DA774A"/>
        <xdr:cNvPicPr>
          <a:picLocks noChangeAspect="1"/>
        </xdr:cNvPicPr>
      </xdr:nvPicPr>
      <xdr:blipFill>
        <a:blip r:embed="rId481"/>
        <a:stretch>
          <a:fillRect/>
        </a:stretch>
      </xdr:blipFill>
      <xdr:spPr>
        <a:xfrm>
          <a:off x="7977505" y="73077705"/>
          <a:ext cx="688340" cy="707390"/>
        </a:xfrm>
        <a:prstGeom prst="rect">
          <a:avLst/>
        </a:prstGeom>
        <a:noFill/>
        <a:ln w="9525">
          <a:noFill/>
        </a:ln>
      </xdr:spPr>
    </xdr:pic>
  </etc:cellImage>
  <etc:cellImage>
    <xdr:pic>
      <xdr:nvPicPr>
        <xdr:cNvPr id="796" name="ID_D6B98860DCA244518107ED41966838AA"/>
        <xdr:cNvPicPr>
          <a:picLocks noChangeAspect="1"/>
        </xdr:cNvPicPr>
      </xdr:nvPicPr>
      <xdr:blipFill>
        <a:blip r:embed="rId482"/>
        <a:stretch>
          <a:fillRect/>
        </a:stretch>
      </xdr:blipFill>
      <xdr:spPr>
        <a:xfrm>
          <a:off x="7779385" y="73832085"/>
          <a:ext cx="965835" cy="663575"/>
        </a:xfrm>
        <a:prstGeom prst="rect">
          <a:avLst/>
        </a:prstGeom>
        <a:noFill/>
        <a:ln w="9525">
          <a:noFill/>
        </a:ln>
      </xdr:spPr>
    </xdr:pic>
  </etc:cellImage>
  <etc:cellImage>
    <xdr:pic>
      <xdr:nvPicPr>
        <xdr:cNvPr id="797" name="ID_A01E64FACA5C49D1BEB5E6DCF367A5D2"/>
        <xdr:cNvPicPr>
          <a:picLocks noChangeAspect="1"/>
        </xdr:cNvPicPr>
      </xdr:nvPicPr>
      <xdr:blipFill>
        <a:blip r:embed="rId483"/>
        <a:stretch>
          <a:fillRect/>
        </a:stretch>
      </xdr:blipFill>
      <xdr:spPr>
        <a:xfrm>
          <a:off x="7700645" y="74667745"/>
          <a:ext cx="843280" cy="796290"/>
        </a:xfrm>
        <a:prstGeom prst="rect">
          <a:avLst/>
        </a:prstGeom>
        <a:noFill/>
        <a:ln w="9525">
          <a:noFill/>
        </a:ln>
      </xdr:spPr>
    </xdr:pic>
  </etc:cellImage>
  <etc:cellImage>
    <xdr:pic>
      <xdr:nvPicPr>
        <xdr:cNvPr id="757" name="ID_64E066AFA5BB41C4A32E116E1588EBC7"/>
        <xdr:cNvPicPr>
          <a:picLocks noChangeAspect="1"/>
        </xdr:cNvPicPr>
      </xdr:nvPicPr>
      <xdr:blipFill>
        <a:blip r:embed="rId484"/>
        <a:stretch>
          <a:fillRect/>
        </a:stretch>
      </xdr:blipFill>
      <xdr:spPr>
        <a:xfrm>
          <a:off x="7243445" y="77172185"/>
          <a:ext cx="781685" cy="799465"/>
        </a:xfrm>
        <a:prstGeom prst="rect">
          <a:avLst/>
        </a:prstGeom>
        <a:noFill/>
        <a:ln w="9525">
          <a:noFill/>
        </a:ln>
      </xdr:spPr>
    </xdr:pic>
  </etc:cellImage>
  <etc:cellImage>
    <xdr:pic>
      <xdr:nvPicPr>
        <xdr:cNvPr id="406" name="ID_595AE3A62995478E9F5A40CECB09360F"/>
        <xdr:cNvPicPr>
          <a:picLocks noChangeAspect="1"/>
        </xdr:cNvPicPr>
      </xdr:nvPicPr>
      <xdr:blipFill>
        <a:blip r:embed="rId485"/>
        <a:stretch>
          <a:fillRect/>
        </a:stretch>
      </xdr:blipFill>
      <xdr:spPr>
        <a:xfrm>
          <a:off x="9807575" y="951865"/>
          <a:ext cx="535940" cy="455930"/>
        </a:xfrm>
        <a:prstGeom prst="rect">
          <a:avLst/>
        </a:prstGeom>
        <a:noFill/>
        <a:ln w="9525">
          <a:noFill/>
        </a:ln>
      </xdr:spPr>
    </xdr:pic>
  </etc:cellImage>
  <etc:cellImage>
    <xdr:pic>
      <xdr:nvPicPr>
        <xdr:cNvPr id="415" name="ID_74EF3D8CCD424118858DCBCAE0236BEF" descr="彩色伸缩管"/>
        <xdr:cNvPicPr/>
      </xdr:nvPicPr>
      <xdr:blipFill>
        <a:blip r:embed="rId486"/>
        <a:stretch>
          <a:fillRect/>
        </a:stretch>
      </xdr:blipFill>
      <xdr:spPr>
        <a:xfrm>
          <a:off x="0" y="0"/>
          <a:ext cx="7346950" cy="7346950"/>
        </a:xfrm>
        <a:prstGeom prst="rect">
          <a:avLst/>
        </a:prstGeom>
      </xdr:spPr>
    </xdr:pic>
  </etc:cellImage>
  <etc:cellImage>
    <xdr:pic>
      <xdr:nvPicPr>
        <xdr:cNvPr id="416" name="ID_31B17C30905E453A91B26828E8F93372"/>
        <xdr:cNvPicPr>
          <a:picLocks noChangeAspect="1"/>
        </xdr:cNvPicPr>
      </xdr:nvPicPr>
      <xdr:blipFill>
        <a:blip r:embed="rId487"/>
        <a:stretch>
          <a:fillRect/>
        </a:stretch>
      </xdr:blipFill>
      <xdr:spPr>
        <a:xfrm>
          <a:off x="3524250" y="1344930"/>
          <a:ext cx="1085215" cy="1016635"/>
        </a:xfrm>
        <a:prstGeom prst="rect">
          <a:avLst/>
        </a:prstGeom>
        <a:noFill/>
        <a:ln w="9525">
          <a:noFill/>
        </a:ln>
      </xdr:spPr>
    </xdr:pic>
  </etc:cellImage>
  <etc:cellImage>
    <xdr:pic>
      <xdr:nvPicPr>
        <xdr:cNvPr id="417" name="ID_B9F44D27514542BA82D9F0140BB329BF" descr="upload_post_object_v2_643583467"/>
        <xdr:cNvPicPr/>
      </xdr:nvPicPr>
      <xdr:blipFill>
        <a:blip r:embed="rId488"/>
        <a:stretch>
          <a:fillRect/>
        </a:stretch>
      </xdr:blipFill>
      <xdr:spPr>
        <a:xfrm>
          <a:off x="0" y="0"/>
          <a:ext cx="5689600" cy="6096000"/>
        </a:xfrm>
        <a:prstGeom prst="rect">
          <a:avLst/>
        </a:prstGeom>
        <a:noFill/>
        <a:ln w="9525">
          <a:noFill/>
        </a:ln>
      </xdr:spPr>
    </xdr:pic>
  </etc:cellImage>
  <etc:cellImage>
    <xdr:pic>
      <xdr:nvPicPr>
        <xdr:cNvPr id="418" name="ID_E565DDA5B04B4F6CAD7D5AF31D3F0594"/>
        <xdr:cNvPicPr>
          <a:picLocks noChangeAspect="1"/>
        </xdr:cNvPicPr>
      </xdr:nvPicPr>
      <xdr:blipFill>
        <a:blip r:embed="rId489"/>
        <a:stretch>
          <a:fillRect/>
        </a:stretch>
      </xdr:blipFill>
      <xdr:spPr>
        <a:xfrm>
          <a:off x="3531870" y="2559685"/>
          <a:ext cx="913765" cy="817245"/>
        </a:xfrm>
        <a:prstGeom prst="rect">
          <a:avLst/>
        </a:prstGeom>
        <a:noFill/>
        <a:ln w="9525">
          <a:noFill/>
        </a:ln>
      </xdr:spPr>
    </xdr:pic>
  </etc:cellImage>
  <etc:cellImage>
    <xdr:pic>
      <xdr:nvPicPr>
        <xdr:cNvPr id="419" name="ID_86E747EF2E6345B2AB83B17A37406615" descr="upload_post_object_v2_3593873219"/>
        <xdr:cNvPicPr/>
      </xdr:nvPicPr>
      <xdr:blipFill>
        <a:blip r:embed="rId490"/>
        <a:stretch>
          <a:fillRect/>
        </a:stretch>
      </xdr:blipFill>
      <xdr:spPr>
        <a:xfrm>
          <a:off x="0" y="0"/>
          <a:ext cx="5689600" cy="6096000"/>
        </a:xfrm>
        <a:prstGeom prst="rect">
          <a:avLst/>
        </a:prstGeom>
        <a:noFill/>
        <a:ln w="9525">
          <a:noFill/>
        </a:ln>
      </xdr:spPr>
    </xdr:pic>
  </etc:cellImage>
  <etc:cellImage>
    <xdr:pic>
      <xdr:nvPicPr>
        <xdr:cNvPr id="420" name="ID_65C58914F76744598B32636A537EDF74" descr="upload_post_object_v2_1132538788"/>
        <xdr:cNvPicPr/>
      </xdr:nvPicPr>
      <xdr:blipFill>
        <a:blip r:embed="rId491"/>
        <a:stretch>
          <a:fillRect/>
        </a:stretch>
      </xdr:blipFill>
      <xdr:spPr>
        <a:xfrm>
          <a:off x="0" y="0"/>
          <a:ext cx="5689600" cy="6096000"/>
        </a:xfrm>
        <a:prstGeom prst="rect">
          <a:avLst/>
        </a:prstGeom>
        <a:noFill/>
        <a:ln w="9525">
          <a:noFill/>
        </a:ln>
      </xdr:spPr>
    </xdr:pic>
  </etc:cellImage>
  <etc:cellImage>
    <xdr:pic>
      <xdr:nvPicPr>
        <xdr:cNvPr id="421" name="ID_58C772901C1748D9A7BBFC8C24E06426" descr="661719822722_.pic"/>
        <xdr:cNvPicPr>
          <a:picLocks noChangeAspect="1"/>
        </xdr:cNvPicPr>
      </xdr:nvPicPr>
      <xdr:blipFill>
        <a:blip r:embed="rId492"/>
        <a:stretch>
          <a:fillRect/>
        </a:stretch>
      </xdr:blipFill>
      <xdr:spPr>
        <a:xfrm>
          <a:off x="3547745" y="7924800"/>
          <a:ext cx="1054735" cy="814070"/>
        </a:xfrm>
        <a:prstGeom prst="rect">
          <a:avLst/>
        </a:prstGeom>
        <a:noFill/>
        <a:ln w="9525">
          <a:noFill/>
        </a:ln>
      </xdr:spPr>
    </xdr:pic>
  </etc:cellImage>
  <etc:cellImage>
    <xdr:pic>
      <xdr:nvPicPr>
        <xdr:cNvPr id="442" name="ID_C20F2B20557F4C6D83E3EAE7F8A626C3"/>
        <xdr:cNvPicPr>
          <a:picLocks noChangeAspect="1"/>
        </xdr:cNvPicPr>
      </xdr:nvPicPr>
      <xdr:blipFill>
        <a:blip r:embed="rId493"/>
        <a:stretch>
          <a:fillRect/>
        </a:stretch>
      </xdr:blipFill>
      <xdr:spPr>
        <a:xfrm>
          <a:off x="4902835" y="2627630"/>
          <a:ext cx="739775" cy="709930"/>
        </a:xfrm>
        <a:prstGeom prst="rect">
          <a:avLst/>
        </a:prstGeom>
        <a:noFill/>
        <a:ln w="9525">
          <a:noFill/>
        </a:ln>
      </xdr:spPr>
    </xdr:pic>
  </etc:cellImage>
  <etc:cellImage>
    <xdr:pic>
      <xdr:nvPicPr>
        <xdr:cNvPr id="445" name="ID_31E10DF9EB4D4F469F15E7433EDEA580"/>
        <xdr:cNvPicPr>
          <a:picLocks noChangeAspect="1"/>
        </xdr:cNvPicPr>
      </xdr:nvPicPr>
      <xdr:blipFill>
        <a:blip r:embed="rId494"/>
        <a:stretch>
          <a:fillRect/>
        </a:stretch>
      </xdr:blipFill>
      <xdr:spPr>
        <a:xfrm>
          <a:off x="3994150" y="3359785"/>
          <a:ext cx="636905" cy="739775"/>
        </a:xfrm>
        <a:prstGeom prst="rect">
          <a:avLst/>
        </a:prstGeom>
        <a:noFill/>
        <a:ln w="9525">
          <a:noFill/>
        </a:ln>
      </xdr:spPr>
    </xdr:pic>
  </etc:cellImage>
  <etc:cellImage>
    <xdr:pic>
      <xdr:nvPicPr>
        <xdr:cNvPr id="447" name="ID_0237293120494E939C10329C508AD489"/>
        <xdr:cNvPicPr>
          <a:picLocks noChangeAspect="1"/>
        </xdr:cNvPicPr>
      </xdr:nvPicPr>
      <xdr:blipFill>
        <a:blip r:embed="rId495"/>
        <a:stretch>
          <a:fillRect/>
        </a:stretch>
      </xdr:blipFill>
      <xdr:spPr>
        <a:xfrm>
          <a:off x="4161790" y="4891405"/>
          <a:ext cx="721360" cy="729615"/>
        </a:xfrm>
        <a:prstGeom prst="rect">
          <a:avLst/>
        </a:prstGeom>
        <a:noFill/>
        <a:ln w="9525">
          <a:noFill/>
        </a:ln>
      </xdr:spPr>
    </xdr:pic>
  </etc:cellImage>
  <etc:cellImage>
    <xdr:pic>
      <xdr:nvPicPr>
        <xdr:cNvPr id="815" name="ID_3066EF68399C43D2A56857C5A9E5CB23"/>
        <xdr:cNvPicPr>
          <a:picLocks noChangeAspect="1"/>
        </xdr:cNvPicPr>
      </xdr:nvPicPr>
      <xdr:blipFill>
        <a:blip r:embed="rId496"/>
        <a:stretch>
          <a:fillRect/>
        </a:stretch>
      </xdr:blipFill>
      <xdr:spPr>
        <a:xfrm>
          <a:off x="6931660" y="5920105"/>
          <a:ext cx="671830" cy="676275"/>
        </a:xfrm>
        <a:prstGeom prst="rect">
          <a:avLst/>
        </a:prstGeom>
        <a:noFill/>
        <a:ln w="9525">
          <a:noFill/>
        </a:ln>
      </xdr:spPr>
    </xdr:pic>
  </etc:cellImage>
  <etc:cellImage>
    <xdr:pic>
      <xdr:nvPicPr>
        <xdr:cNvPr id="450" name="ID_DCFC3ADD17D547E78C3289D0583E75FC"/>
        <xdr:cNvPicPr>
          <a:picLocks noChangeAspect="1"/>
        </xdr:cNvPicPr>
      </xdr:nvPicPr>
      <xdr:blipFill>
        <a:blip r:embed="rId497"/>
        <a:stretch>
          <a:fillRect/>
        </a:stretch>
      </xdr:blipFill>
      <xdr:spPr>
        <a:xfrm>
          <a:off x="5032375" y="6404610"/>
          <a:ext cx="800100" cy="742950"/>
        </a:xfrm>
        <a:prstGeom prst="rect">
          <a:avLst/>
        </a:prstGeom>
        <a:noFill/>
        <a:ln w="9525">
          <a:noFill/>
        </a:ln>
      </xdr:spPr>
    </xdr:pic>
  </etc:cellImage>
  <etc:cellImage>
    <xdr:pic>
      <xdr:nvPicPr>
        <xdr:cNvPr id="895" name="ID_4580550D896D47D5A9F820CC50222147"/>
        <xdr:cNvPicPr>
          <a:picLocks noChangeAspect="1"/>
        </xdr:cNvPicPr>
      </xdr:nvPicPr>
      <xdr:blipFill>
        <a:blip r:embed="rId498"/>
        <a:stretch>
          <a:fillRect/>
        </a:stretch>
      </xdr:blipFill>
      <xdr:spPr>
        <a:xfrm>
          <a:off x="6398895" y="8281035"/>
          <a:ext cx="1027430" cy="834390"/>
        </a:xfrm>
        <a:prstGeom prst="rect">
          <a:avLst/>
        </a:prstGeom>
        <a:noFill/>
        <a:ln w="9525">
          <a:noFill/>
        </a:ln>
      </xdr:spPr>
    </xdr:pic>
  </etc:cellImage>
  <etc:cellImage>
    <xdr:pic>
      <xdr:nvPicPr>
        <xdr:cNvPr id="601" name="ID_B0DDEB1E887C46D5A67D3320C24E7C29"/>
        <xdr:cNvPicPr>
          <a:picLocks noChangeAspect="1"/>
        </xdr:cNvPicPr>
      </xdr:nvPicPr>
      <xdr:blipFill>
        <a:blip r:embed="rId499"/>
        <a:stretch>
          <a:fillRect/>
        </a:stretch>
      </xdr:blipFill>
      <xdr:spPr>
        <a:xfrm>
          <a:off x="5154295" y="12541250"/>
          <a:ext cx="676275" cy="676275"/>
        </a:xfrm>
        <a:prstGeom prst="rect">
          <a:avLst/>
        </a:prstGeom>
        <a:noFill/>
        <a:ln w="9525">
          <a:noFill/>
        </a:ln>
      </xdr:spPr>
    </xdr:pic>
  </etc:cellImage>
  <etc:cellImage>
    <xdr:pic>
      <xdr:nvPicPr>
        <xdr:cNvPr id="448" name="ID_74A481423D544F3589203E997EA6FBF7"/>
        <xdr:cNvPicPr>
          <a:picLocks noChangeAspect="1"/>
        </xdr:cNvPicPr>
      </xdr:nvPicPr>
      <xdr:blipFill>
        <a:blip r:embed="rId500"/>
        <a:stretch>
          <a:fillRect/>
        </a:stretch>
      </xdr:blipFill>
      <xdr:spPr>
        <a:xfrm>
          <a:off x="4078605" y="7175500"/>
          <a:ext cx="758190" cy="692150"/>
        </a:xfrm>
        <a:prstGeom prst="rect">
          <a:avLst/>
        </a:prstGeom>
        <a:noFill/>
        <a:ln w="9525">
          <a:noFill/>
        </a:ln>
      </xdr:spPr>
    </xdr:pic>
  </etc:cellImage>
  <etc:cellImage>
    <xdr:pic>
      <xdr:nvPicPr>
        <xdr:cNvPr id="805" name="ID_03B62DC86332403A8CF84A402B634674"/>
        <xdr:cNvPicPr>
          <a:picLocks noChangeAspect="1"/>
        </xdr:cNvPicPr>
      </xdr:nvPicPr>
      <xdr:blipFill>
        <a:blip r:embed="rId501"/>
        <a:stretch>
          <a:fillRect/>
        </a:stretch>
      </xdr:blipFill>
      <xdr:spPr>
        <a:xfrm flipH="1">
          <a:off x="6912610" y="6700520"/>
          <a:ext cx="599440" cy="698500"/>
        </a:xfrm>
        <a:prstGeom prst="rect">
          <a:avLst/>
        </a:prstGeom>
        <a:noFill/>
        <a:ln w="9525">
          <a:noFill/>
        </a:ln>
      </xdr:spPr>
    </xdr:pic>
  </etc:cellImage>
  <etc:cellImage>
    <xdr:pic>
      <xdr:nvPicPr>
        <xdr:cNvPr id="456" name="ID_857474C2D729469D92374E298D46F3DB"/>
        <xdr:cNvPicPr>
          <a:picLocks noChangeAspect="1"/>
        </xdr:cNvPicPr>
      </xdr:nvPicPr>
      <xdr:blipFill>
        <a:blip r:embed="rId502"/>
        <a:stretch>
          <a:fillRect/>
        </a:stretch>
      </xdr:blipFill>
      <xdr:spPr>
        <a:xfrm>
          <a:off x="5120005" y="9494520"/>
          <a:ext cx="674370" cy="681990"/>
        </a:xfrm>
        <a:prstGeom prst="rect">
          <a:avLst/>
        </a:prstGeom>
        <a:noFill/>
        <a:ln w="9525">
          <a:noFill/>
        </a:ln>
      </xdr:spPr>
    </xdr:pic>
  </etc:cellImage>
  <etc:cellImage>
    <xdr:pic>
      <xdr:nvPicPr>
        <xdr:cNvPr id="462" name="ID_7829333AE175467D899CAD903B70A019"/>
        <xdr:cNvPicPr/>
      </xdr:nvPicPr>
      <xdr:blipFill>
        <a:blip r:embed="rId503"/>
        <a:stretch>
          <a:fillRect/>
        </a:stretch>
      </xdr:blipFill>
      <xdr:spPr>
        <a:xfrm>
          <a:off x="4127500" y="20924520"/>
          <a:ext cx="727075" cy="730250"/>
        </a:xfrm>
        <a:prstGeom prst="rect">
          <a:avLst/>
        </a:prstGeom>
      </xdr:spPr>
    </xdr:pic>
  </etc:cellImage>
  <etc:cellImage>
    <xdr:pic>
      <xdr:nvPicPr>
        <xdr:cNvPr id="463" name="ID_9E8A52D4BE5441508D3BDC6F953EA99B"/>
        <xdr:cNvPicPr>
          <a:picLocks noChangeAspect="1"/>
        </xdr:cNvPicPr>
      </xdr:nvPicPr>
      <xdr:blipFill>
        <a:blip r:embed="rId504"/>
        <a:stretch>
          <a:fillRect/>
        </a:stretch>
      </xdr:blipFill>
      <xdr:spPr>
        <a:xfrm>
          <a:off x="4230370" y="11745595"/>
          <a:ext cx="683260" cy="710565"/>
        </a:xfrm>
        <a:prstGeom prst="rect">
          <a:avLst/>
        </a:prstGeom>
        <a:noFill/>
        <a:ln w="9525">
          <a:noFill/>
        </a:ln>
      </xdr:spPr>
    </xdr:pic>
  </etc:cellImage>
  <etc:cellImage>
    <xdr:pic>
      <xdr:nvPicPr>
        <xdr:cNvPr id="469" name="ID_79681BA647D346C595FAD139B683ADCF"/>
        <xdr:cNvPicPr>
          <a:picLocks noChangeAspect="1"/>
        </xdr:cNvPicPr>
      </xdr:nvPicPr>
      <xdr:blipFill>
        <a:blip r:embed="rId505"/>
        <a:stretch>
          <a:fillRect/>
        </a:stretch>
      </xdr:blipFill>
      <xdr:spPr>
        <a:xfrm>
          <a:off x="3987800" y="13275945"/>
          <a:ext cx="717550" cy="727710"/>
        </a:xfrm>
        <a:prstGeom prst="rect">
          <a:avLst/>
        </a:prstGeom>
        <a:noFill/>
        <a:ln w="9525">
          <a:solidFill>
            <a:schemeClr val="accent1"/>
          </a:solidFill>
        </a:ln>
      </xdr:spPr>
    </xdr:pic>
  </etc:cellImage>
  <etc:cellImage>
    <xdr:pic>
      <xdr:nvPicPr>
        <xdr:cNvPr id="809" name="ID_0C4302D8D6C946C6A421A3972DF21103"/>
        <xdr:cNvPicPr>
          <a:picLocks noChangeAspect="1"/>
        </xdr:cNvPicPr>
      </xdr:nvPicPr>
      <xdr:blipFill>
        <a:blip r:embed="rId506"/>
        <a:stretch>
          <a:fillRect/>
        </a:stretch>
      </xdr:blipFill>
      <xdr:spPr>
        <a:xfrm>
          <a:off x="6940550" y="7500620"/>
          <a:ext cx="650875" cy="675005"/>
        </a:xfrm>
        <a:prstGeom prst="rect">
          <a:avLst/>
        </a:prstGeom>
        <a:noFill/>
        <a:ln w="9525">
          <a:noFill/>
        </a:ln>
      </xdr:spPr>
    </xdr:pic>
  </etc:cellImage>
  <etc:cellImage>
    <xdr:pic>
      <xdr:nvPicPr>
        <xdr:cNvPr id="833" name="ID_C454534D25D04E66B249BE0823BEEEC7"/>
        <xdr:cNvPicPr>
          <a:picLocks noChangeAspect="1"/>
        </xdr:cNvPicPr>
      </xdr:nvPicPr>
      <xdr:blipFill>
        <a:blip r:embed="rId507"/>
        <a:stretch>
          <a:fillRect/>
        </a:stretch>
      </xdr:blipFill>
      <xdr:spPr>
        <a:xfrm>
          <a:off x="6971030" y="2848610"/>
          <a:ext cx="937895" cy="949960"/>
        </a:xfrm>
        <a:prstGeom prst="rect">
          <a:avLst/>
        </a:prstGeom>
        <a:noFill/>
        <a:ln w="9525">
          <a:noFill/>
        </a:ln>
      </xdr:spPr>
    </xdr:pic>
  </etc:cellImage>
  <etc:cellImage>
    <xdr:pic>
      <xdr:nvPicPr>
        <xdr:cNvPr id="826" name="ID_C3A98D1D42DA4EFA91CA1E3CF8E0C23F"/>
        <xdr:cNvPicPr>
          <a:picLocks noChangeAspect="1"/>
        </xdr:cNvPicPr>
      </xdr:nvPicPr>
      <xdr:blipFill>
        <a:blip r:embed="rId508"/>
        <a:stretch>
          <a:fillRect/>
        </a:stretch>
      </xdr:blipFill>
      <xdr:spPr>
        <a:xfrm>
          <a:off x="6925310" y="2057400"/>
          <a:ext cx="846455" cy="1129665"/>
        </a:xfrm>
        <a:prstGeom prst="rect">
          <a:avLst/>
        </a:prstGeom>
        <a:noFill/>
        <a:ln w="9525">
          <a:noFill/>
        </a:ln>
      </xdr:spPr>
    </xdr:pic>
  </etc:cellImage>
  <etc:cellImage>
    <xdr:pic>
      <xdr:nvPicPr>
        <xdr:cNvPr id="847" name="ID_12DEE4E72FE7466D9718F962E476BD8E"/>
        <xdr:cNvPicPr>
          <a:picLocks noChangeAspect="1"/>
        </xdr:cNvPicPr>
      </xdr:nvPicPr>
      <xdr:blipFill>
        <a:blip r:embed="rId509"/>
        <a:stretch>
          <a:fillRect/>
        </a:stretch>
      </xdr:blipFill>
      <xdr:spPr>
        <a:xfrm>
          <a:off x="6851650" y="3810000"/>
          <a:ext cx="1579245" cy="1084580"/>
        </a:xfrm>
        <a:prstGeom prst="rect">
          <a:avLst/>
        </a:prstGeom>
        <a:noFill/>
        <a:ln w="9525">
          <a:noFill/>
        </a:ln>
      </xdr:spPr>
    </xdr:pic>
  </etc:cellImage>
  <etc:cellImage>
    <xdr:pic>
      <xdr:nvPicPr>
        <xdr:cNvPr id="811" name="ID_6EC84401CC6349069CF197660E0D2D86"/>
        <xdr:cNvPicPr>
          <a:picLocks noChangeAspect="1"/>
        </xdr:cNvPicPr>
      </xdr:nvPicPr>
      <xdr:blipFill>
        <a:blip r:embed="rId510"/>
        <a:stretch>
          <a:fillRect/>
        </a:stretch>
      </xdr:blipFill>
      <xdr:spPr>
        <a:xfrm>
          <a:off x="6887210" y="4940300"/>
          <a:ext cx="1394460" cy="882650"/>
        </a:xfrm>
        <a:prstGeom prst="rect">
          <a:avLst/>
        </a:prstGeom>
        <a:noFill/>
        <a:ln w="9525">
          <a:noFill/>
        </a:ln>
      </xdr:spPr>
    </xdr:pic>
  </etc:cellImage>
  <etc:cellImage>
    <xdr:pic>
      <xdr:nvPicPr>
        <xdr:cNvPr id="850" name="ID_4405C237C6BA4D3BBA2A7F422B8F6B2B"/>
        <xdr:cNvPicPr>
          <a:picLocks noChangeAspect="1"/>
        </xdr:cNvPicPr>
      </xdr:nvPicPr>
      <xdr:blipFill>
        <a:blip r:embed="rId511"/>
        <a:stretch>
          <a:fillRect/>
        </a:stretch>
      </xdr:blipFill>
      <xdr:spPr>
        <a:xfrm>
          <a:off x="7007860" y="10407650"/>
          <a:ext cx="770890" cy="875665"/>
        </a:xfrm>
        <a:prstGeom prst="rect">
          <a:avLst/>
        </a:prstGeom>
        <a:noFill/>
        <a:ln w="9525">
          <a:noFill/>
        </a:ln>
      </xdr:spPr>
    </xdr:pic>
  </etc:cellImage>
  <etc:cellImage>
    <xdr:pic>
      <xdr:nvPicPr>
        <xdr:cNvPr id="852" name="ID_2FA8446A866B417E98A44568D4F94F97"/>
        <xdr:cNvPicPr>
          <a:picLocks noChangeAspect="1"/>
        </xdr:cNvPicPr>
      </xdr:nvPicPr>
      <xdr:blipFill>
        <a:blip r:embed="rId512"/>
        <a:stretch>
          <a:fillRect/>
        </a:stretch>
      </xdr:blipFill>
      <xdr:spPr>
        <a:xfrm>
          <a:off x="6391275" y="18084800"/>
          <a:ext cx="1132205" cy="975995"/>
        </a:xfrm>
        <a:prstGeom prst="rect">
          <a:avLst/>
        </a:prstGeom>
        <a:noFill/>
        <a:ln w="9525">
          <a:noFill/>
        </a:ln>
      </xdr:spPr>
    </xdr:pic>
  </etc:cellImage>
  <etc:cellImage>
    <xdr:pic>
      <xdr:nvPicPr>
        <xdr:cNvPr id="893" name="ID_8C47DD047F974D7C857FB74BE21396BE"/>
        <xdr:cNvPicPr>
          <a:picLocks noChangeAspect="1"/>
        </xdr:cNvPicPr>
      </xdr:nvPicPr>
      <xdr:blipFill>
        <a:blip r:embed="rId513"/>
        <a:stretch>
          <a:fillRect/>
        </a:stretch>
      </xdr:blipFill>
      <xdr:spPr>
        <a:xfrm>
          <a:off x="6360795" y="10053320"/>
          <a:ext cx="1090295" cy="806450"/>
        </a:xfrm>
        <a:prstGeom prst="rect">
          <a:avLst/>
        </a:prstGeom>
        <a:noFill/>
        <a:ln w="9525">
          <a:noFill/>
        </a:ln>
      </xdr:spPr>
    </xdr:pic>
  </etc:cellImage>
  <etc:cellImage>
    <xdr:pic>
      <xdr:nvPicPr>
        <xdr:cNvPr id="858" name="ID_462A812F125441B5925A03B26C7454E7"/>
        <xdr:cNvPicPr>
          <a:picLocks noChangeAspect="1"/>
        </xdr:cNvPicPr>
      </xdr:nvPicPr>
      <xdr:blipFill>
        <a:blip r:embed="rId514"/>
        <a:stretch>
          <a:fillRect/>
        </a:stretch>
      </xdr:blipFill>
      <xdr:spPr>
        <a:xfrm>
          <a:off x="6422390" y="7968615"/>
          <a:ext cx="867410" cy="773430"/>
        </a:xfrm>
        <a:prstGeom prst="rect">
          <a:avLst/>
        </a:prstGeom>
        <a:noFill/>
        <a:ln w="9525">
          <a:noFill/>
        </a:ln>
      </xdr:spPr>
    </xdr:pic>
  </etc:cellImage>
  <etc:cellImage>
    <xdr:pic>
      <xdr:nvPicPr>
        <xdr:cNvPr id="835" name="ID_EDAF237C5D314C5092E8D0E840C3498E"/>
        <xdr:cNvPicPr>
          <a:picLocks noChangeAspect="1"/>
        </xdr:cNvPicPr>
      </xdr:nvPicPr>
      <xdr:blipFill>
        <a:blip r:embed="rId515"/>
        <a:stretch>
          <a:fillRect/>
        </a:stretch>
      </xdr:blipFill>
      <xdr:spPr>
        <a:xfrm>
          <a:off x="6276975" y="11734800"/>
          <a:ext cx="1125220" cy="867410"/>
        </a:xfrm>
        <a:prstGeom prst="rect">
          <a:avLst/>
        </a:prstGeom>
        <a:noFill/>
        <a:ln w="9525">
          <a:noFill/>
        </a:ln>
      </xdr:spPr>
    </xdr:pic>
  </etc:cellImage>
  <etc:cellImage>
    <xdr:pic>
      <xdr:nvPicPr>
        <xdr:cNvPr id="886" name="ID_9D92DF77022E4DAAB9F1A67147FFDB59"/>
        <xdr:cNvPicPr>
          <a:picLocks noChangeAspect="1"/>
        </xdr:cNvPicPr>
      </xdr:nvPicPr>
      <xdr:blipFill>
        <a:blip r:embed="rId516"/>
        <a:stretch>
          <a:fillRect/>
        </a:stretch>
      </xdr:blipFill>
      <xdr:spPr>
        <a:xfrm>
          <a:off x="6851650" y="15036800"/>
          <a:ext cx="1892300" cy="1562100"/>
        </a:xfrm>
        <a:prstGeom prst="rect">
          <a:avLst/>
        </a:prstGeom>
        <a:noFill/>
        <a:ln w="9525">
          <a:noFill/>
        </a:ln>
      </xdr:spPr>
    </xdr:pic>
  </etc:cellImage>
  <etc:cellImage>
    <xdr:pic>
      <xdr:nvPicPr>
        <xdr:cNvPr id="807" name="ID_77B3AF6F4E1C4E4C91D1512190CC8D1E"/>
        <xdr:cNvPicPr>
          <a:picLocks noChangeAspect="1"/>
        </xdr:cNvPicPr>
      </xdr:nvPicPr>
      <xdr:blipFill>
        <a:blip r:embed="rId517"/>
        <a:stretch>
          <a:fillRect/>
        </a:stretch>
      </xdr:blipFill>
      <xdr:spPr>
        <a:xfrm>
          <a:off x="6372225" y="12725400"/>
          <a:ext cx="1109980" cy="948055"/>
        </a:xfrm>
        <a:prstGeom prst="rect">
          <a:avLst/>
        </a:prstGeom>
        <a:noFill/>
        <a:ln w="9525">
          <a:noFill/>
        </a:ln>
      </xdr:spPr>
    </xdr:pic>
  </etc:cellImage>
  <etc:cellImage>
    <xdr:pic>
      <xdr:nvPicPr>
        <xdr:cNvPr id="892" name="ID_AE858D01D69948E0A5D59C07EDAD6EE8"/>
        <xdr:cNvPicPr>
          <a:picLocks noChangeAspect="1"/>
        </xdr:cNvPicPr>
      </xdr:nvPicPr>
      <xdr:blipFill>
        <a:blip r:embed="rId518"/>
        <a:stretch>
          <a:fillRect/>
        </a:stretch>
      </xdr:blipFill>
      <xdr:spPr>
        <a:xfrm>
          <a:off x="6292215" y="9179560"/>
          <a:ext cx="1066800" cy="802005"/>
        </a:xfrm>
        <a:prstGeom prst="rect">
          <a:avLst/>
        </a:prstGeom>
        <a:noFill/>
        <a:ln w="9525">
          <a:noFill/>
        </a:ln>
      </xdr:spPr>
    </xdr:pic>
  </etc:cellImage>
  <etc:cellImage>
    <xdr:pic>
      <xdr:nvPicPr>
        <xdr:cNvPr id="863" name="ID_909B76A4838948B990A511BF22C57339"/>
        <xdr:cNvPicPr>
          <a:picLocks noChangeAspect="1"/>
        </xdr:cNvPicPr>
      </xdr:nvPicPr>
      <xdr:blipFill>
        <a:blip r:embed="rId519"/>
        <a:stretch>
          <a:fillRect/>
        </a:stretch>
      </xdr:blipFill>
      <xdr:spPr>
        <a:xfrm>
          <a:off x="6312535" y="13728700"/>
          <a:ext cx="1115695" cy="1003300"/>
        </a:xfrm>
        <a:prstGeom prst="rect">
          <a:avLst/>
        </a:prstGeom>
        <a:noFill/>
        <a:ln w="9525">
          <a:noFill/>
        </a:ln>
      </xdr:spPr>
    </xdr:pic>
  </etc:cellImage>
  <etc:cellImage>
    <xdr:pic>
      <xdr:nvPicPr>
        <xdr:cNvPr id="853" name="ID_46662CFEEDF84E44986B9415B42A62E9"/>
        <xdr:cNvPicPr>
          <a:picLocks noChangeAspect="1"/>
        </xdr:cNvPicPr>
      </xdr:nvPicPr>
      <xdr:blipFill>
        <a:blip r:embed="rId520"/>
        <a:stretch>
          <a:fillRect/>
        </a:stretch>
      </xdr:blipFill>
      <xdr:spPr>
        <a:xfrm>
          <a:off x="6373495" y="14872335"/>
          <a:ext cx="1078865" cy="945515"/>
        </a:xfrm>
        <a:prstGeom prst="rect">
          <a:avLst/>
        </a:prstGeom>
        <a:noFill/>
        <a:ln w="9525">
          <a:noFill/>
        </a:ln>
      </xdr:spPr>
    </xdr:pic>
  </etc:cellImage>
  <etc:cellImage>
    <xdr:pic>
      <xdr:nvPicPr>
        <xdr:cNvPr id="875" name="ID_403261338560467883ABC117E7B16B9B"/>
        <xdr:cNvPicPr>
          <a:picLocks noChangeAspect="1"/>
        </xdr:cNvPicPr>
      </xdr:nvPicPr>
      <xdr:blipFill>
        <a:blip r:embed="rId521"/>
        <a:stretch>
          <a:fillRect/>
        </a:stretch>
      </xdr:blipFill>
      <xdr:spPr>
        <a:xfrm>
          <a:off x="6356985" y="2427605"/>
          <a:ext cx="995045" cy="913765"/>
        </a:xfrm>
        <a:prstGeom prst="rect">
          <a:avLst/>
        </a:prstGeom>
        <a:noFill/>
        <a:ln w="9525">
          <a:noFill/>
        </a:ln>
      </xdr:spPr>
    </xdr:pic>
  </etc:cellImage>
  <etc:cellImage>
    <xdr:pic>
      <xdr:nvPicPr>
        <xdr:cNvPr id="870" name="ID_FFC281759E9E4C47BED810F8D02D9482"/>
        <xdr:cNvPicPr>
          <a:picLocks noChangeAspect="1"/>
        </xdr:cNvPicPr>
      </xdr:nvPicPr>
      <xdr:blipFill>
        <a:blip r:embed="rId522"/>
        <a:stretch>
          <a:fillRect/>
        </a:stretch>
      </xdr:blipFill>
      <xdr:spPr>
        <a:xfrm>
          <a:off x="6317615" y="4389755"/>
          <a:ext cx="1142365" cy="885825"/>
        </a:xfrm>
        <a:prstGeom prst="rect">
          <a:avLst/>
        </a:prstGeom>
        <a:noFill/>
        <a:ln w="9525">
          <a:noFill/>
        </a:ln>
      </xdr:spPr>
    </xdr:pic>
  </etc:cellImage>
  <etc:cellImage>
    <xdr:pic>
      <xdr:nvPicPr>
        <xdr:cNvPr id="885" name="ID_E46A11254A4C4E5AB4BE0F69B04A531E"/>
        <xdr:cNvPicPr>
          <a:picLocks noChangeAspect="1"/>
        </xdr:cNvPicPr>
      </xdr:nvPicPr>
      <xdr:blipFill>
        <a:blip r:embed="rId523"/>
        <a:stretch>
          <a:fillRect/>
        </a:stretch>
      </xdr:blipFill>
      <xdr:spPr>
        <a:xfrm>
          <a:off x="6315075" y="8282940"/>
          <a:ext cx="1117600" cy="813435"/>
        </a:xfrm>
        <a:prstGeom prst="rect">
          <a:avLst/>
        </a:prstGeom>
        <a:noFill/>
        <a:ln w="9525">
          <a:noFill/>
        </a:ln>
      </xdr:spPr>
    </xdr:pic>
  </etc:cellImage>
  <etc:cellImage>
    <xdr:pic>
      <xdr:nvPicPr>
        <xdr:cNvPr id="841" name="ID_511F76534075484AB732909A7C5E9C69"/>
        <xdr:cNvPicPr>
          <a:picLocks noChangeAspect="1"/>
        </xdr:cNvPicPr>
      </xdr:nvPicPr>
      <xdr:blipFill>
        <a:blip r:embed="rId524"/>
        <a:stretch>
          <a:fillRect/>
        </a:stretch>
      </xdr:blipFill>
      <xdr:spPr>
        <a:xfrm>
          <a:off x="6363335" y="4221480"/>
          <a:ext cx="1021080" cy="831215"/>
        </a:xfrm>
        <a:prstGeom prst="rect">
          <a:avLst/>
        </a:prstGeom>
        <a:noFill/>
        <a:ln w="9525">
          <a:noFill/>
        </a:ln>
      </xdr:spPr>
    </xdr:pic>
  </etc:cellImage>
  <etc:cellImage>
    <xdr:pic>
      <xdr:nvPicPr>
        <xdr:cNvPr id="890" name="ID_50895BC473464361978591750EC0EA9F"/>
        <xdr:cNvPicPr>
          <a:picLocks noChangeAspect="1"/>
        </xdr:cNvPicPr>
      </xdr:nvPicPr>
      <xdr:blipFill>
        <a:blip r:embed="rId525"/>
        <a:stretch>
          <a:fillRect/>
        </a:stretch>
      </xdr:blipFill>
      <xdr:spPr>
        <a:xfrm>
          <a:off x="6375400" y="7312660"/>
          <a:ext cx="1045210" cy="868045"/>
        </a:xfrm>
        <a:prstGeom prst="rect">
          <a:avLst/>
        </a:prstGeom>
        <a:noFill/>
        <a:ln w="9525">
          <a:noFill/>
        </a:ln>
      </xdr:spPr>
    </xdr:pic>
  </etc:cellImage>
  <etc:cellImage>
    <xdr:pic>
      <xdr:nvPicPr>
        <xdr:cNvPr id="854" name="ID_676E3057E56748ABBBF847452ABCF20E"/>
        <xdr:cNvPicPr>
          <a:picLocks noChangeAspect="1"/>
        </xdr:cNvPicPr>
      </xdr:nvPicPr>
      <xdr:blipFill>
        <a:blip r:embed="rId526"/>
        <a:stretch>
          <a:fillRect/>
        </a:stretch>
      </xdr:blipFill>
      <xdr:spPr>
        <a:xfrm>
          <a:off x="6414135" y="9179560"/>
          <a:ext cx="956945" cy="880745"/>
        </a:xfrm>
        <a:prstGeom prst="rect">
          <a:avLst/>
        </a:prstGeom>
        <a:noFill/>
        <a:ln w="9525">
          <a:noFill/>
        </a:ln>
      </xdr:spPr>
    </xdr:pic>
  </etc:cellImage>
  <etc:cellImage>
    <xdr:pic>
      <xdr:nvPicPr>
        <xdr:cNvPr id="422" name="ID_135DE889A54041C4B4F311DB4325FA70"/>
        <xdr:cNvPicPr>
          <a:picLocks noChangeAspect="1"/>
        </xdr:cNvPicPr>
      </xdr:nvPicPr>
      <xdr:blipFill>
        <a:blip r:embed="rId527"/>
        <a:stretch>
          <a:fillRect/>
        </a:stretch>
      </xdr:blipFill>
      <xdr:spPr>
        <a:xfrm>
          <a:off x="100209985" y="3548380"/>
          <a:ext cx="497205" cy="517525"/>
        </a:xfrm>
        <a:prstGeom prst="rect">
          <a:avLst/>
        </a:prstGeom>
        <a:noFill/>
        <a:ln w="9525">
          <a:noFill/>
        </a:ln>
      </xdr:spPr>
    </xdr:pic>
  </etc:cellImage>
  <etc:cellImage>
    <xdr:pic>
      <xdr:nvPicPr>
        <xdr:cNvPr id="423" name="ID_ED9AA9FCD98547839652BAFD10F99565"/>
        <xdr:cNvPicPr>
          <a:picLocks noChangeAspect="1"/>
        </xdr:cNvPicPr>
      </xdr:nvPicPr>
      <xdr:blipFill>
        <a:blip r:embed="rId528"/>
        <a:stretch>
          <a:fillRect/>
        </a:stretch>
      </xdr:blipFill>
      <xdr:spPr>
        <a:xfrm>
          <a:off x="100166170" y="6374765"/>
          <a:ext cx="572770" cy="574040"/>
        </a:xfrm>
        <a:prstGeom prst="rect">
          <a:avLst/>
        </a:prstGeom>
        <a:noFill/>
        <a:ln w="9525">
          <a:noFill/>
        </a:ln>
      </xdr:spPr>
    </xdr:pic>
  </etc:cellImage>
  <etc:cellImage>
    <xdr:pic>
      <xdr:nvPicPr>
        <xdr:cNvPr id="424" name="ID_ECFAB7A42645445397E646928D4DA485"/>
        <xdr:cNvPicPr/>
      </xdr:nvPicPr>
      <xdr:blipFill>
        <a:blip r:embed="rId71"/>
        <a:stretch>
          <a:fillRect/>
        </a:stretch>
      </xdr:blipFill>
      <xdr:spPr>
        <a:xfrm>
          <a:off x="100017580" y="8415020"/>
          <a:ext cx="894715" cy="659130"/>
        </a:xfrm>
        <a:prstGeom prst="rect">
          <a:avLst/>
        </a:prstGeom>
      </xdr:spPr>
    </xdr:pic>
  </etc:cellImage>
  <etc:cellImage>
    <xdr:pic>
      <xdr:nvPicPr>
        <xdr:cNvPr id="425" name="ID_7FA686FBBF35406BA61A6E77AF5B348C"/>
        <xdr:cNvPicPr>
          <a:picLocks noChangeAspect="1"/>
        </xdr:cNvPicPr>
      </xdr:nvPicPr>
      <xdr:blipFill>
        <a:blip r:embed="rId529"/>
        <a:stretch>
          <a:fillRect/>
        </a:stretch>
      </xdr:blipFill>
      <xdr:spPr>
        <a:xfrm>
          <a:off x="100042980" y="11125200"/>
          <a:ext cx="693420" cy="554355"/>
        </a:xfrm>
        <a:prstGeom prst="rect">
          <a:avLst/>
        </a:prstGeom>
        <a:noFill/>
        <a:ln w="9525">
          <a:noFill/>
        </a:ln>
      </xdr:spPr>
    </xdr:pic>
  </etc:cellImage>
  <etc:cellImage>
    <xdr:pic>
      <xdr:nvPicPr>
        <xdr:cNvPr id="426" name="ID_106ACB7315864E419A05DC5E8724BF30"/>
        <xdr:cNvPicPr>
          <a:picLocks noChangeAspect="1"/>
        </xdr:cNvPicPr>
      </xdr:nvPicPr>
      <xdr:blipFill>
        <a:blip r:embed="rId530" r:link="rId112"/>
        <a:stretch>
          <a:fillRect/>
        </a:stretch>
      </xdr:blipFill>
      <xdr:spPr>
        <a:xfrm>
          <a:off x="99950905" y="11860530"/>
          <a:ext cx="746760" cy="624205"/>
        </a:xfrm>
        <a:prstGeom prst="rect">
          <a:avLst/>
        </a:prstGeom>
        <a:noFill/>
        <a:ln w="9525">
          <a:noFill/>
        </a:ln>
      </xdr:spPr>
    </xdr:pic>
  </etc:cellImage>
  <etc:cellImage>
    <xdr:pic>
      <xdr:nvPicPr>
        <xdr:cNvPr id="427" name="ID_B9E9A0B05F5E407CB2645E051A670B77"/>
        <xdr:cNvPicPr>
          <a:picLocks noChangeAspect="1"/>
        </xdr:cNvPicPr>
      </xdr:nvPicPr>
      <xdr:blipFill>
        <a:blip r:embed="rId531"/>
        <a:stretch>
          <a:fillRect/>
        </a:stretch>
      </xdr:blipFill>
      <xdr:spPr>
        <a:xfrm>
          <a:off x="100013135" y="12477750"/>
          <a:ext cx="675640" cy="697865"/>
        </a:xfrm>
        <a:prstGeom prst="rect">
          <a:avLst/>
        </a:prstGeom>
        <a:noFill/>
        <a:ln w="9525">
          <a:noFill/>
        </a:ln>
      </xdr:spPr>
    </xdr:pic>
  </etc:cellImage>
  <etc:cellImage>
    <xdr:pic>
      <xdr:nvPicPr>
        <xdr:cNvPr id="428" name="ID_4F8C272EA11848DCA733B8637CFA6C16"/>
        <xdr:cNvPicPr>
          <a:picLocks noChangeAspect="1"/>
        </xdr:cNvPicPr>
      </xdr:nvPicPr>
      <xdr:blipFill>
        <a:blip r:embed="rId532"/>
        <a:stretch>
          <a:fillRect/>
        </a:stretch>
      </xdr:blipFill>
      <xdr:spPr>
        <a:xfrm flipH="1">
          <a:off x="100008690" y="13869670"/>
          <a:ext cx="670560" cy="681990"/>
        </a:xfrm>
        <a:prstGeom prst="rect">
          <a:avLst/>
        </a:prstGeom>
        <a:noFill/>
        <a:ln w="9525">
          <a:noFill/>
        </a:ln>
      </xdr:spPr>
    </xdr:pic>
  </etc:cellImage>
  <etc:cellImage>
    <xdr:pic>
      <xdr:nvPicPr>
        <xdr:cNvPr id="429" name="ID_8FB0DA4BD3E64F0DAB1AAE497853B090"/>
        <xdr:cNvPicPr>
          <a:picLocks noChangeAspect="1"/>
        </xdr:cNvPicPr>
      </xdr:nvPicPr>
      <xdr:blipFill>
        <a:blip r:embed="rId533"/>
        <a:stretch>
          <a:fillRect/>
        </a:stretch>
      </xdr:blipFill>
      <xdr:spPr>
        <a:xfrm>
          <a:off x="99992815" y="14630400"/>
          <a:ext cx="754380" cy="558800"/>
        </a:xfrm>
        <a:prstGeom prst="rect">
          <a:avLst/>
        </a:prstGeom>
        <a:noFill/>
        <a:ln w="9525">
          <a:noFill/>
        </a:ln>
      </xdr:spPr>
    </xdr:pic>
  </etc:cellImage>
  <etc:cellImage>
    <xdr:pic>
      <xdr:nvPicPr>
        <xdr:cNvPr id="430" name="ID_01FB9B8C0EC14ED48BA415B592B5F72E"/>
        <xdr:cNvPicPr>
          <a:picLocks noChangeAspect="1"/>
        </xdr:cNvPicPr>
      </xdr:nvPicPr>
      <xdr:blipFill>
        <a:blip r:embed="rId534"/>
        <a:stretch>
          <a:fillRect/>
        </a:stretch>
      </xdr:blipFill>
      <xdr:spPr>
        <a:xfrm>
          <a:off x="100054410" y="15256510"/>
          <a:ext cx="737870" cy="715010"/>
        </a:xfrm>
        <a:prstGeom prst="rect">
          <a:avLst/>
        </a:prstGeom>
        <a:noFill/>
        <a:ln w="9525">
          <a:noFill/>
        </a:ln>
      </xdr:spPr>
    </xdr:pic>
  </etc:cellImage>
  <etc:cellImage>
    <xdr:pic>
      <xdr:nvPicPr>
        <xdr:cNvPr id="431" name="ID_FDD8BEFA4672400BA0CE0888D0258D19"/>
        <xdr:cNvPicPr>
          <a:picLocks noChangeAspect="1"/>
        </xdr:cNvPicPr>
      </xdr:nvPicPr>
      <xdr:blipFill>
        <a:blip r:embed="rId535"/>
        <a:stretch>
          <a:fillRect/>
        </a:stretch>
      </xdr:blipFill>
      <xdr:spPr>
        <a:xfrm>
          <a:off x="99985830" y="15955010"/>
          <a:ext cx="621665" cy="617855"/>
        </a:xfrm>
        <a:prstGeom prst="rect">
          <a:avLst/>
        </a:prstGeom>
        <a:noFill/>
        <a:ln w="9525">
          <a:noFill/>
        </a:ln>
      </xdr:spPr>
    </xdr:pic>
  </etc:cellImage>
  <etc:cellImage>
    <xdr:pic>
      <xdr:nvPicPr>
        <xdr:cNvPr id="432" name="ID_3E53984573F644588539F879C9EBEFE7"/>
        <xdr:cNvPicPr>
          <a:picLocks noChangeAspect="1"/>
        </xdr:cNvPicPr>
      </xdr:nvPicPr>
      <xdr:blipFill>
        <a:blip r:embed="rId536"/>
        <a:stretch>
          <a:fillRect/>
        </a:stretch>
      </xdr:blipFill>
      <xdr:spPr>
        <a:xfrm>
          <a:off x="100018850" y="16682085"/>
          <a:ext cx="624205" cy="514350"/>
        </a:xfrm>
        <a:prstGeom prst="rect">
          <a:avLst/>
        </a:prstGeom>
        <a:noFill/>
        <a:ln w="9525">
          <a:noFill/>
        </a:ln>
      </xdr:spPr>
    </xdr:pic>
  </etc:cellImage>
  <etc:cellImage>
    <xdr:pic>
      <xdr:nvPicPr>
        <xdr:cNvPr id="433" name="ID_41398239F8624F638DD11AB33EA92270"/>
        <xdr:cNvPicPr>
          <a:picLocks noChangeAspect="1"/>
        </xdr:cNvPicPr>
      </xdr:nvPicPr>
      <xdr:blipFill>
        <a:blip r:embed="rId537"/>
        <a:stretch>
          <a:fillRect/>
        </a:stretch>
      </xdr:blipFill>
      <xdr:spPr>
        <a:xfrm>
          <a:off x="100020755" y="17397095"/>
          <a:ext cx="735965" cy="737870"/>
        </a:xfrm>
        <a:prstGeom prst="rect">
          <a:avLst/>
        </a:prstGeom>
        <a:noFill/>
        <a:ln w="9525">
          <a:noFill/>
        </a:ln>
      </xdr:spPr>
    </xdr:pic>
  </etc:cellImage>
  <etc:cellImage>
    <xdr:pic>
      <xdr:nvPicPr>
        <xdr:cNvPr id="434" name="ID_51FEC0B5065C42D7870E413F8DBDA2AB"/>
        <xdr:cNvPicPr>
          <a:picLocks noChangeAspect="1"/>
        </xdr:cNvPicPr>
      </xdr:nvPicPr>
      <xdr:blipFill>
        <a:blip r:embed="rId538"/>
        <a:stretch>
          <a:fillRect/>
        </a:stretch>
      </xdr:blipFill>
      <xdr:spPr>
        <a:xfrm>
          <a:off x="100019485" y="17990185"/>
          <a:ext cx="666750" cy="697865"/>
        </a:xfrm>
        <a:prstGeom prst="rect">
          <a:avLst/>
        </a:prstGeom>
        <a:noFill/>
        <a:ln w="9525">
          <a:noFill/>
        </a:ln>
      </xdr:spPr>
    </xdr:pic>
  </etc:cellImage>
  <etc:cellImage>
    <xdr:pic>
      <xdr:nvPicPr>
        <xdr:cNvPr id="435" name="ID_442F73104C5F4D74BFCFB05D6147CED5"/>
        <xdr:cNvPicPr>
          <a:picLocks noChangeAspect="1"/>
        </xdr:cNvPicPr>
      </xdr:nvPicPr>
      <xdr:blipFill>
        <a:blip r:embed="rId539"/>
        <a:stretch>
          <a:fillRect/>
        </a:stretch>
      </xdr:blipFill>
      <xdr:spPr>
        <a:xfrm>
          <a:off x="100067745" y="18642965"/>
          <a:ext cx="643890" cy="655955"/>
        </a:xfrm>
        <a:prstGeom prst="rect">
          <a:avLst/>
        </a:prstGeom>
      </xdr:spPr>
    </xdr:pic>
  </etc:cellImage>
  <etc:cellImage>
    <xdr:pic>
      <xdr:nvPicPr>
        <xdr:cNvPr id="436" name="ID_7AD92352DC4541F3975AC38DF68D8E62"/>
        <xdr:cNvPicPr>
          <a:picLocks noChangeAspect="1"/>
        </xdr:cNvPicPr>
      </xdr:nvPicPr>
      <xdr:blipFill>
        <a:blip r:embed="rId540"/>
        <a:stretch>
          <a:fillRect/>
        </a:stretch>
      </xdr:blipFill>
      <xdr:spPr>
        <a:xfrm>
          <a:off x="100023930" y="19361150"/>
          <a:ext cx="767080" cy="677545"/>
        </a:xfrm>
        <a:prstGeom prst="rect">
          <a:avLst/>
        </a:prstGeom>
        <a:noFill/>
        <a:ln w="9525">
          <a:noFill/>
        </a:ln>
      </xdr:spPr>
    </xdr:pic>
  </etc:cellImage>
  <etc:cellImage>
    <xdr:pic>
      <xdr:nvPicPr>
        <xdr:cNvPr id="437" name="ID_3730D5D6688F40DB82FE37B89225AC4D"/>
        <xdr:cNvPicPr>
          <a:picLocks noChangeAspect="1"/>
        </xdr:cNvPicPr>
      </xdr:nvPicPr>
      <xdr:blipFill>
        <a:blip r:embed="rId541"/>
        <a:stretch>
          <a:fillRect/>
        </a:stretch>
      </xdr:blipFill>
      <xdr:spPr>
        <a:xfrm>
          <a:off x="99969320" y="20078700"/>
          <a:ext cx="889000" cy="755650"/>
        </a:xfrm>
        <a:prstGeom prst="rect">
          <a:avLst/>
        </a:prstGeom>
        <a:noFill/>
        <a:ln w="9525">
          <a:noFill/>
        </a:ln>
      </xdr:spPr>
    </xdr:pic>
  </etc:cellImage>
  <etc:cellImage>
    <xdr:pic>
      <xdr:nvPicPr>
        <xdr:cNvPr id="438" name="ID_14CBF923C0204B4A9347739CCD626D6D"/>
        <xdr:cNvPicPr>
          <a:picLocks noChangeAspect="1"/>
        </xdr:cNvPicPr>
      </xdr:nvPicPr>
      <xdr:blipFill>
        <a:blip r:embed="rId542"/>
        <a:stretch>
          <a:fillRect/>
        </a:stretch>
      </xdr:blipFill>
      <xdr:spPr>
        <a:xfrm>
          <a:off x="99947730" y="20821650"/>
          <a:ext cx="732155" cy="570230"/>
        </a:xfrm>
        <a:prstGeom prst="rect">
          <a:avLst/>
        </a:prstGeom>
      </xdr:spPr>
    </xdr:pic>
  </etc:cellImage>
  <etc:cellImage>
    <xdr:pic>
      <xdr:nvPicPr>
        <xdr:cNvPr id="440" name="ID_5A8DC97B3ECA4F1FBCC9DB31D4C68E08" descr="{73FFBD6B-12C1-413E-A582-935FB3C04FF2}_20200528115724"/>
        <xdr:cNvPicPr>
          <a:picLocks noChangeAspect="1"/>
        </xdr:cNvPicPr>
      </xdr:nvPicPr>
      <xdr:blipFill>
        <a:blip r:embed="rId543"/>
        <a:stretch>
          <a:fillRect/>
        </a:stretch>
      </xdr:blipFill>
      <xdr:spPr>
        <a:xfrm>
          <a:off x="100112830" y="22207855"/>
          <a:ext cx="753745" cy="664845"/>
        </a:xfrm>
        <a:prstGeom prst="rect">
          <a:avLst/>
        </a:prstGeom>
      </xdr:spPr>
    </xdr:pic>
  </etc:cellImage>
  <etc:cellImage>
    <xdr:pic>
      <xdr:nvPicPr>
        <xdr:cNvPr id="443" name="ID_18E0D444601741B281086A02B9C71700"/>
        <xdr:cNvPicPr>
          <a:picLocks noChangeAspect="1"/>
        </xdr:cNvPicPr>
      </xdr:nvPicPr>
      <xdr:blipFill>
        <a:blip r:embed="rId544"/>
        <a:stretch>
          <a:fillRect/>
        </a:stretch>
      </xdr:blipFill>
      <xdr:spPr>
        <a:xfrm>
          <a:off x="100138865" y="22790150"/>
          <a:ext cx="679450" cy="623570"/>
        </a:xfrm>
        <a:prstGeom prst="rect">
          <a:avLst/>
        </a:prstGeom>
        <a:noFill/>
        <a:ln w="9525">
          <a:noFill/>
        </a:ln>
      </xdr:spPr>
    </xdr:pic>
  </etc:cellImage>
  <etc:cellImage>
    <xdr:pic>
      <xdr:nvPicPr>
        <xdr:cNvPr id="444" name="ID_CEA659A5309D405286E384AD48D8DD84"/>
        <xdr:cNvPicPr>
          <a:picLocks noChangeAspect="1"/>
        </xdr:cNvPicPr>
      </xdr:nvPicPr>
      <xdr:blipFill>
        <a:blip r:embed="rId545"/>
        <a:stretch>
          <a:fillRect/>
        </a:stretch>
      </xdr:blipFill>
      <xdr:spPr>
        <a:xfrm>
          <a:off x="100043615" y="23477220"/>
          <a:ext cx="696595" cy="638810"/>
        </a:xfrm>
        <a:prstGeom prst="rect">
          <a:avLst/>
        </a:prstGeom>
        <a:noFill/>
        <a:ln w="9525">
          <a:noFill/>
        </a:ln>
      </xdr:spPr>
    </xdr:pic>
  </etc:cellImage>
  <etc:cellImage>
    <xdr:pic>
      <xdr:nvPicPr>
        <xdr:cNvPr id="449" name="ID_58BA68BCD5424034BE6E2CB7FA592562"/>
        <xdr:cNvPicPr>
          <a:picLocks noChangeAspect="1"/>
        </xdr:cNvPicPr>
      </xdr:nvPicPr>
      <xdr:blipFill>
        <a:blip r:embed="rId546"/>
        <a:stretch>
          <a:fillRect/>
        </a:stretch>
      </xdr:blipFill>
      <xdr:spPr>
        <a:xfrm>
          <a:off x="100189665" y="24885650"/>
          <a:ext cx="471805" cy="511810"/>
        </a:xfrm>
        <a:prstGeom prst="rect">
          <a:avLst/>
        </a:prstGeom>
        <a:noFill/>
        <a:ln w="9525">
          <a:noFill/>
        </a:ln>
      </xdr:spPr>
    </xdr:pic>
  </etc:cellImage>
  <etc:cellImage>
    <xdr:pic>
      <xdr:nvPicPr>
        <xdr:cNvPr id="453" name="ID_2683A5698E5743F18B5515CE8E991F8F"/>
        <xdr:cNvPicPr>
          <a:picLocks noChangeAspect="1"/>
        </xdr:cNvPicPr>
      </xdr:nvPicPr>
      <xdr:blipFill>
        <a:blip r:embed="rId547"/>
        <a:stretch>
          <a:fillRect/>
        </a:stretch>
      </xdr:blipFill>
      <xdr:spPr>
        <a:xfrm>
          <a:off x="99962970" y="26968450"/>
          <a:ext cx="709295" cy="344170"/>
        </a:xfrm>
        <a:prstGeom prst="rect">
          <a:avLst/>
        </a:prstGeom>
        <a:noFill/>
        <a:ln w="9525">
          <a:noFill/>
        </a:ln>
      </xdr:spPr>
    </xdr:pic>
  </etc:cellImage>
  <etc:cellImage>
    <xdr:pic>
      <xdr:nvPicPr>
        <xdr:cNvPr id="455" name="ID_ABBDCEF064E34868846F18F1FDFAEBE4"/>
        <xdr:cNvPicPr>
          <a:picLocks noChangeAspect="1"/>
        </xdr:cNvPicPr>
      </xdr:nvPicPr>
      <xdr:blipFill>
        <a:blip r:embed="rId548"/>
        <a:stretch>
          <a:fillRect/>
        </a:stretch>
      </xdr:blipFill>
      <xdr:spPr>
        <a:xfrm>
          <a:off x="100138865" y="28378150"/>
          <a:ext cx="551815" cy="547370"/>
        </a:xfrm>
        <a:prstGeom prst="rect">
          <a:avLst/>
        </a:prstGeom>
        <a:noFill/>
        <a:ln w="9525">
          <a:noFill/>
        </a:ln>
      </xdr:spPr>
    </xdr:pic>
  </etc:cellImage>
  <etc:cellImage>
    <xdr:pic>
      <xdr:nvPicPr>
        <xdr:cNvPr id="458" name="ID_6BD447FA66A7422696125C0D1B72BE7B"/>
        <xdr:cNvPicPr>
          <a:picLocks noChangeAspect="1"/>
        </xdr:cNvPicPr>
      </xdr:nvPicPr>
      <xdr:blipFill>
        <a:blip r:embed="rId549"/>
        <a:stretch>
          <a:fillRect/>
        </a:stretch>
      </xdr:blipFill>
      <xdr:spPr>
        <a:xfrm>
          <a:off x="99973765" y="28935045"/>
          <a:ext cx="659765" cy="704850"/>
        </a:xfrm>
        <a:prstGeom prst="rect">
          <a:avLst/>
        </a:prstGeom>
        <a:noFill/>
        <a:ln w="9525">
          <a:noFill/>
        </a:ln>
      </xdr:spPr>
    </xdr:pic>
  </etc:cellImage>
  <etc:cellImage>
    <xdr:pic>
      <xdr:nvPicPr>
        <xdr:cNvPr id="459" name="ID_AE509402A43349BEA40517305EFBC4A7"/>
        <xdr:cNvPicPr>
          <a:picLocks noChangeAspect="1"/>
        </xdr:cNvPicPr>
      </xdr:nvPicPr>
      <xdr:blipFill>
        <a:blip r:embed="rId550" r:link="rId112"/>
        <a:stretch>
          <a:fillRect/>
        </a:stretch>
      </xdr:blipFill>
      <xdr:spPr>
        <a:xfrm>
          <a:off x="99950905" y="29716730"/>
          <a:ext cx="643255" cy="544830"/>
        </a:xfrm>
        <a:prstGeom prst="rect">
          <a:avLst/>
        </a:prstGeom>
        <a:noFill/>
        <a:ln w="9525">
          <a:noFill/>
        </a:ln>
      </xdr:spPr>
    </xdr:pic>
  </etc:cellImage>
  <etc:cellImage>
    <xdr:pic>
      <xdr:nvPicPr>
        <xdr:cNvPr id="461" name="ID_E3493B7C52FF48D59976E95C05BA999B"/>
        <xdr:cNvPicPr>
          <a:picLocks noChangeAspect="1"/>
        </xdr:cNvPicPr>
      </xdr:nvPicPr>
      <xdr:blipFill>
        <a:blip r:embed="rId551"/>
        <a:stretch>
          <a:fillRect/>
        </a:stretch>
      </xdr:blipFill>
      <xdr:spPr>
        <a:xfrm>
          <a:off x="99970590" y="30350460"/>
          <a:ext cx="783590" cy="720090"/>
        </a:xfrm>
        <a:prstGeom prst="rect">
          <a:avLst/>
        </a:prstGeom>
        <a:noFill/>
        <a:ln w="9525">
          <a:noFill/>
        </a:ln>
      </xdr:spPr>
    </xdr:pic>
  </etc:cellImage>
  <etc:cellImage>
    <xdr:pic>
      <xdr:nvPicPr>
        <xdr:cNvPr id="464" name="ID_A3997A91C1554941965603C01EEE34B3"/>
        <xdr:cNvPicPr>
          <a:picLocks noChangeAspect="1"/>
        </xdr:cNvPicPr>
      </xdr:nvPicPr>
      <xdr:blipFill>
        <a:blip r:embed="rId552"/>
        <a:stretch>
          <a:fillRect/>
        </a:stretch>
      </xdr:blipFill>
      <xdr:spPr>
        <a:xfrm>
          <a:off x="100063300" y="31026100"/>
          <a:ext cx="661670" cy="610235"/>
        </a:xfrm>
        <a:prstGeom prst="rect">
          <a:avLst/>
        </a:prstGeom>
        <a:noFill/>
        <a:ln w="9525">
          <a:noFill/>
        </a:ln>
      </xdr:spPr>
    </xdr:pic>
  </etc:cellImage>
  <etc:cellImage>
    <xdr:pic>
      <xdr:nvPicPr>
        <xdr:cNvPr id="465" name="ID_CB587A7D1A2D40EF85B2F3B983DDD616"/>
        <xdr:cNvPicPr>
          <a:picLocks noChangeAspect="1"/>
        </xdr:cNvPicPr>
      </xdr:nvPicPr>
      <xdr:blipFill>
        <a:blip r:embed="rId553"/>
        <a:stretch>
          <a:fillRect/>
        </a:stretch>
      </xdr:blipFill>
      <xdr:spPr>
        <a:xfrm>
          <a:off x="100079810" y="31750000"/>
          <a:ext cx="704850" cy="608965"/>
        </a:xfrm>
        <a:prstGeom prst="rect">
          <a:avLst/>
        </a:prstGeom>
        <a:noFill/>
        <a:ln w="9525">
          <a:noFill/>
        </a:ln>
      </xdr:spPr>
    </xdr:pic>
  </etc:cellImage>
  <etc:cellImage>
    <xdr:pic>
      <xdr:nvPicPr>
        <xdr:cNvPr id="466" name="ID_130CE74EEDAF4A7D971D228DBD953CB1"/>
        <xdr:cNvPicPr>
          <a:picLocks noChangeAspect="1"/>
        </xdr:cNvPicPr>
      </xdr:nvPicPr>
      <xdr:blipFill>
        <a:blip r:embed="rId554" r:link="rId112"/>
        <a:stretch>
          <a:fillRect/>
        </a:stretch>
      </xdr:blipFill>
      <xdr:spPr>
        <a:xfrm>
          <a:off x="100019485" y="32429450"/>
          <a:ext cx="343535" cy="490855"/>
        </a:xfrm>
        <a:prstGeom prst="rect">
          <a:avLst/>
        </a:prstGeom>
        <a:noFill/>
        <a:ln w="9525">
          <a:noFill/>
        </a:ln>
      </xdr:spPr>
    </xdr:pic>
  </etc:cellImage>
  <etc:cellImage>
    <xdr:pic>
      <xdr:nvPicPr>
        <xdr:cNvPr id="467" name="ID_CEAC1704618647CD95760A934AB76D88"/>
        <xdr:cNvPicPr>
          <a:picLocks noChangeAspect="1"/>
        </xdr:cNvPicPr>
      </xdr:nvPicPr>
      <xdr:blipFill>
        <a:blip r:embed="rId555"/>
        <a:stretch>
          <a:fillRect/>
        </a:stretch>
      </xdr:blipFill>
      <xdr:spPr>
        <a:xfrm>
          <a:off x="99996625" y="33064450"/>
          <a:ext cx="608965" cy="899160"/>
        </a:xfrm>
        <a:prstGeom prst="rect">
          <a:avLst/>
        </a:prstGeom>
        <a:noFill/>
        <a:ln w="9525">
          <a:noFill/>
        </a:ln>
      </xdr:spPr>
    </xdr:pic>
  </etc:cellImage>
  <etc:cellImage>
    <xdr:pic>
      <xdr:nvPicPr>
        <xdr:cNvPr id="468" name="ID_2B8EA9D9576747BD91067DA3002F0DFC"/>
        <xdr:cNvPicPr>
          <a:picLocks noChangeAspect="1"/>
        </xdr:cNvPicPr>
      </xdr:nvPicPr>
      <xdr:blipFill>
        <a:blip r:embed="rId556"/>
        <a:stretch>
          <a:fillRect/>
        </a:stretch>
      </xdr:blipFill>
      <xdr:spPr>
        <a:xfrm>
          <a:off x="99947730" y="33818830"/>
          <a:ext cx="649605" cy="687705"/>
        </a:xfrm>
        <a:prstGeom prst="rect">
          <a:avLst/>
        </a:prstGeom>
        <a:noFill/>
        <a:ln w="9525">
          <a:noFill/>
        </a:ln>
      </xdr:spPr>
    </xdr:pic>
  </etc:cellImage>
  <etc:cellImage>
    <xdr:pic>
      <xdr:nvPicPr>
        <xdr:cNvPr id="470" name="ID_57921D218D8549A8B495020060E0D5FA"/>
        <xdr:cNvPicPr>
          <a:picLocks noChangeAspect="1"/>
        </xdr:cNvPicPr>
      </xdr:nvPicPr>
      <xdr:blipFill>
        <a:blip r:embed="rId557"/>
        <a:stretch>
          <a:fillRect/>
        </a:stretch>
      </xdr:blipFill>
      <xdr:spPr>
        <a:xfrm>
          <a:off x="99999165" y="34514790"/>
          <a:ext cx="758190" cy="547370"/>
        </a:xfrm>
        <a:prstGeom prst="rect">
          <a:avLst/>
        </a:prstGeom>
        <a:noFill/>
        <a:ln w="9525">
          <a:noFill/>
        </a:ln>
      </xdr:spPr>
    </xdr:pic>
  </etc:cellImage>
  <etc:cellImage>
    <xdr:pic>
      <xdr:nvPicPr>
        <xdr:cNvPr id="471" name="ID_1D9015BBD55B4EA09941AA233594A415"/>
        <xdr:cNvPicPr>
          <a:picLocks noChangeAspect="1"/>
        </xdr:cNvPicPr>
      </xdr:nvPicPr>
      <xdr:blipFill>
        <a:blip r:embed="rId558"/>
        <a:stretch>
          <a:fillRect/>
        </a:stretch>
      </xdr:blipFill>
      <xdr:spPr>
        <a:xfrm>
          <a:off x="99997895" y="35217735"/>
          <a:ext cx="612775" cy="626110"/>
        </a:xfrm>
        <a:prstGeom prst="rect">
          <a:avLst/>
        </a:prstGeom>
        <a:noFill/>
        <a:ln w="9525">
          <a:noFill/>
        </a:ln>
      </xdr:spPr>
    </xdr:pic>
  </etc:cellImage>
  <etc:cellImage>
    <xdr:pic>
      <xdr:nvPicPr>
        <xdr:cNvPr id="472" name="ID_A9D88ECED7AD41F3A439E3227CC9C043"/>
        <xdr:cNvPicPr>
          <a:picLocks noChangeAspect="1"/>
        </xdr:cNvPicPr>
      </xdr:nvPicPr>
      <xdr:blipFill>
        <a:blip r:embed="rId559"/>
        <a:stretch>
          <a:fillRect/>
        </a:stretch>
      </xdr:blipFill>
      <xdr:spPr>
        <a:xfrm>
          <a:off x="99952810" y="35888930"/>
          <a:ext cx="1122045" cy="542925"/>
        </a:xfrm>
        <a:prstGeom prst="rect">
          <a:avLst/>
        </a:prstGeom>
        <a:noFill/>
        <a:ln w="9525">
          <a:noFill/>
        </a:ln>
      </xdr:spPr>
    </xdr:pic>
  </etc:cellImage>
  <etc:cellImage>
    <xdr:pic>
      <xdr:nvPicPr>
        <xdr:cNvPr id="473" name="ID_2AD8D4392B1C445DA6B7DB5C28E259D3"/>
        <xdr:cNvPicPr>
          <a:picLocks noChangeAspect="1"/>
        </xdr:cNvPicPr>
      </xdr:nvPicPr>
      <xdr:blipFill>
        <a:blip r:embed="rId560"/>
        <a:stretch>
          <a:fillRect/>
        </a:stretch>
      </xdr:blipFill>
      <xdr:spPr>
        <a:xfrm>
          <a:off x="99954715" y="36499800"/>
          <a:ext cx="813435" cy="882015"/>
        </a:xfrm>
        <a:prstGeom prst="rect">
          <a:avLst/>
        </a:prstGeom>
        <a:noFill/>
        <a:ln w="9525">
          <a:noFill/>
        </a:ln>
      </xdr:spPr>
    </xdr:pic>
  </etc:cellImage>
  <etc:cellImage>
    <xdr:pic>
      <xdr:nvPicPr>
        <xdr:cNvPr id="474" name="ID_55D815AA76FA46C3817DBEAA1769AFF2"/>
        <xdr:cNvPicPr>
          <a:picLocks noChangeAspect="1"/>
        </xdr:cNvPicPr>
      </xdr:nvPicPr>
      <xdr:blipFill>
        <a:blip r:embed="rId561"/>
        <a:stretch>
          <a:fillRect/>
        </a:stretch>
      </xdr:blipFill>
      <xdr:spPr>
        <a:xfrm>
          <a:off x="100072825" y="37193220"/>
          <a:ext cx="407035" cy="529590"/>
        </a:xfrm>
        <a:prstGeom prst="rect">
          <a:avLst/>
        </a:prstGeom>
        <a:noFill/>
        <a:ln w="9525">
          <a:noFill/>
        </a:ln>
      </xdr:spPr>
    </xdr:pic>
  </etc:cellImage>
  <etc:cellImage>
    <xdr:pic>
      <xdr:nvPicPr>
        <xdr:cNvPr id="475" name="ID_65A3F9D60FB64B029F1EA43CFCA74B01"/>
        <xdr:cNvPicPr>
          <a:picLocks noChangeAspect="1"/>
        </xdr:cNvPicPr>
      </xdr:nvPicPr>
      <xdr:blipFill>
        <a:blip r:embed="rId562"/>
        <a:stretch>
          <a:fillRect/>
        </a:stretch>
      </xdr:blipFill>
      <xdr:spPr>
        <a:xfrm>
          <a:off x="99958525" y="37865050"/>
          <a:ext cx="716915" cy="614680"/>
        </a:xfrm>
        <a:prstGeom prst="rect">
          <a:avLst/>
        </a:prstGeom>
        <a:noFill/>
        <a:ln w="9525">
          <a:noFill/>
        </a:ln>
      </xdr:spPr>
    </xdr:pic>
  </etc:cellImage>
  <etc:cellImage>
    <xdr:pic>
      <xdr:nvPicPr>
        <xdr:cNvPr id="476" name="ID_B5933D778BE144B68675EF428CCCDAA8"/>
        <xdr:cNvPicPr>
          <a:picLocks noChangeAspect="1"/>
        </xdr:cNvPicPr>
      </xdr:nvPicPr>
      <xdr:blipFill>
        <a:blip r:embed="rId563"/>
        <a:stretch>
          <a:fillRect/>
        </a:stretch>
      </xdr:blipFill>
      <xdr:spPr>
        <a:xfrm flipH="1">
          <a:off x="99986465" y="38618795"/>
          <a:ext cx="622300" cy="556895"/>
        </a:xfrm>
        <a:prstGeom prst="rect">
          <a:avLst/>
        </a:prstGeom>
        <a:noFill/>
        <a:ln w="9525">
          <a:noFill/>
        </a:ln>
      </xdr:spPr>
    </xdr:pic>
  </etc:cellImage>
  <etc:cellImage>
    <xdr:pic>
      <xdr:nvPicPr>
        <xdr:cNvPr id="477" name="ID_D89BE57226DB4E269487E408EFDA4B90"/>
        <xdr:cNvPicPr>
          <a:picLocks noChangeAspect="1"/>
        </xdr:cNvPicPr>
      </xdr:nvPicPr>
      <xdr:blipFill>
        <a:blip r:embed="rId564"/>
        <a:stretch>
          <a:fillRect/>
        </a:stretch>
      </xdr:blipFill>
      <xdr:spPr>
        <a:xfrm>
          <a:off x="100038535" y="39363650"/>
          <a:ext cx="650875" cy="462915"/>
        </a:xfrm>
        <a:prstGeom prst="rect">
          <a:avLst/>
        </a:prstGeom>
        <a:noFill/>
        <a:ln w="9525">
          <a:noFill/>
        </a:ln>
      </xdr:spPr>
    </xdr:pic>
  </etc:cellImage>
  <etc:cellImage>
    <xdr:pic>
      <xdr:nvPicPr>
        <xdr:cNvPr id="478" name="ID_E84A7A2227C6424A9DDDF76DFFA25961"/>
        <xdr:cNvPicPr>
          <a:picLocks noChangeAspect="1"/>
        </xdr:cNvPicPr>
      </xdr:nvPicPr>
      <xdr:blipFill>
        <a:blip r:embed="rId565"/>
        <a:stretch>
          <a:fillRect/>
        </a:stretch>
      </xdr:blipFill>
      <xdr:spPr>
        <a:xfrm>
          <a:off x="99946460" y="40084375"/>
          <a:ext cx="912495" cy="531495"/>
        </a:xfrm>
        <a:prstGeom prst="rect">
          <a:avLst/>
        </a:prstGeom>
        <a:noFill/>
        <a:ln w="9525">
          <a:noFill/>
        </a:ln>
      </xdr:spPr>
    </xdr:pic>
  </etc:cellImage>
  <etc:cellImage>
    <xdr:pic>
      <xdr:nvPicPr>
        <xdr:cNvPr id="479" name="ID_A65B55F81BA6407A83E625B2AEF6FEAC"/>
        <xdr:cNvPicPr>
          <a:picLocks noChangeAspect="1"/>
        </xdr:cNvPicPr>
      </xdr:nvPicPr>
      <xdr:blipFill>
        <a:blip r:embed="rId566"/>
        <a:stretch>
          <a:fillRect/>
        </a:stretch>
      </xdr:blipFill>
      <xdr:spPr>
        <a:xfrm>
          <a:off x="100062665" y="40652700"/>
          <a:ext cx="541655" cy="458470"/>
        </a:xfrm>
        <a:prstGeom prst="rect">
          <a:avLst/>
        </a:prstGeom>
        <a:noFill/>
        <a:ln w="9525">
          <a:noFill/>
        </a:ln>
      </xdr:spPr>
    </xdr:pic>
  </etc:cellImage>
  <etc:cellImage>
    <xdr:pic>
      <xdr:nvPicPr>
        <xdr:cNvPr id="480" name="ID_D6914A2FAB0140D39CB9F633DDA1CFF3"/>
        <xdr:cNvPicPr>
          <a:picLocks noChangeAspect="1"/>
        </xdr:cNvPicPr>
      </xdr:nvPicPr>
      <xdr:blipFill>
        <a:blip r:embed="rId567"/>
        <a:stretch>
          <a:fillRect/>
        </a:stretch>
      </xdr:blipFill>
      <xdr:spPr>
        <a:xfrm>
          <a:off x="99986465" y="41363900"/>
          <a:ext cx="542925" cy="558165"/>
        </a:xfrm>
        <a:prstGeom prst="rect">
          <a:avLst/>
        </a:prstGeom>
        <a:noFill/>
        <a:ln w="9525">
          <a:noFill/>
        </a:ln>
      </xdr:spPr>
    </xdr:pic>
  </etc:cellImage>
  <etc:cellImage>
    <xdr:pic>
      <xdr:nvPicPr>
        <xdr:cNvPr id="481" name="ID_AC6915F55AE242589A119C4911B7935B"/>
        <xdr:cNvPicPr>
          <a:picLocks noChangeAspect="1"/>
        </xdr:cNvPicPr>
      </xdr:nvPicPr>
      <xdr:blipFill>
        <a:blip r:embed="rId568"/>
        <a:stretch>
          <a:fillRect/>
        </a:stretch>
      </xdr:blipFill>
      <xdr:spPr>
        <a:xfrm flipV="1">
          <a:off x="100099495" y="42084625"/>
          <a:ext cx="619760" cy="621665"/>
        </a:xfrm>
        <a:prstGeom prst="rect">
          <a:avLst/>
        </a:prstGeom>
        <a:noFill/>
        <a:ln w="9525">
          <a:noFill/>
        </a:ln>
      </xdr:spPr>
    </xdr:pic>
  </etc:cellImage>
  <etc:cellImage>
    <xdr:pic>
      <xdr:nvPicPr>
        <xdr:cNvPr id="482" name="ID_336BBF85EEC64C6682401E4D2D9C1B45"/>
        <xdr:cNvPicPr>
          <a:picLocks noChangeAspect="1"/>
        </xdr:cNvPicPr>
      </xdr:nvPicPr>
      <xdr:blipFill>
        <a:blip r:embed="rId569"/>
        <a:stretch>
          <a:fillRect/>
        </a:stretch>
      </xdr:blipFill>
      <xdr:spPr>
        <a:xfrm>
          <a:off x="100068380" y="42672000"/>
          <a:ext cx="548005" cy="483870"/>
        </a:xfrm>
        <a:prstGeom prst="rect">
          <a:avLst/>
        </a:prstGeom>
        <a:noFill/>
        <a:ln w="9525">
          <a:noFill/>
        </a:ln>
      </xdr:spPr>
    </xdr:pic>
  </etc:cellImage>
  <etc:cellImage>
    <xdr:pic>
      <xdr:nvPicPr>
        <xdr:cNvPr id="483" name="ID_48053EE7BE454AED8BB1A26357E0880E"/>
        <xdr:cNvPicPr>
          <a:picLocks noChangeAspect="1"/>
        </xdr:cNvPicPr>
      </xdr:nvPicPr>
      <xdr:blipFill>
        <a:blip r:embed="rId570"/>
        <a:stretch>
          <a:fillRect/>
        </a:stretch>
      </xdr:blipFill>
      <xdr:spPr>
        <a:xfrm>
          <a:off x="100176965" y="43510200"/>
          <a:ext cx="618490" cy="532130"/>
        </a:xfrm>
        <a:prstGeom prst="rect">
          <a:avLst/>
        </a:prstGeom>
        <a:noFill/>
        <a:ln w="9525">
          <a:noFill/>
        </a:ln>
      </xdr:spPr>
    </xdr:pic>
  </etc:cellImage>
  <etc:cellImage>
    <xdr:pic>
      <xdr:nvPicPr>
        <xdr:cNvPr id="484" name="ID_4A84F3CADCFF429FB3CE25DC1544C893"/>
        <xdr:cNvPicPr>
          <a:picLocks noChangeAspect="1"/>
        </xdr:cNvPicPr>
      </xdr:nvPicPr>
      <xdr:blipFill>
        <a:blip r:embed="rId571"/>
        <a:stretch>
          <a:fillRect/>
        </a:stretch>
      </xdr:blipFill>
      <xdr:spPr>
        <a:xfrm>
          <a:off x="100298250" y="44136310"/>
          <a:ext cx="414655" cy="424180"/>
        </a:xfrm>
        <a:prstGeom prst="rect">
          <a:avLst/>
        </a:prstGeom>
        <a:noFill/>
        <a:ln w="9525">
          <a:noFill/>
        </a:ln>
      </xdr:spPr>
    </xdr:pic>
  </etc:cellImage>
  <etc:cellImage>
    <xdr:pic>
      <xdr:nvPicPr>
        <xdr:cNvPr id="485" name="ID_0000F6C9A0214B61A903B03F04BBB81A"/>
        <xdr:cNvPicPr>
          <a:picLocks noChangeAspect="1"/>
        </xdr:cNvPicPr>
      </xdr:nvPicPr>
      <xdr:blipFill>
        <a:blip r:embed="rId572"/>
        <a:stretch>
          <a:fillRect/>
        </a:stretch>
      </xdr:blipFill>
      <xdr:spPr>
        <a:xfrm>
          <a:off x="100351590" y="44738925"/>
          <a:ext cx="438150" cy="447675"/>
        </a:xfrm>
        <a:prstGeom prst="rect">
          <a:avLst/>
        </a:prstGeom>
        <a:noFill/>
        <a:ln w="9525">
          <a:noFill/>
        </a:ln>
      </xdr:spPr>
    </xdr:pic>
  </etc:cellImage>
  <etc:cellImage>
    <xdr:pic>
      <xdr:nvPicPr>
        <xdr:cNvPr id="486" name="ID_C2FCD07005234AD4BB9505EBCE03B5F7"/>
        <xdr:cNvPicPr>
          <a:picLocks noChangeAspect="1"/>
        </xdr:cNvPicPr>
      </xdr:nvPicPr>
      <xdr:blipFill>
        <a:blip r:embed="rId573"/>
        <a:stretch>
          <a:fillRect/>
        </a:stretch>
      </xdr:blipFill>
      <xdr:spPr>
        <a:xfrm>
          <a:off x="100114735" y="45416470"/>
          <a:ext cx="556260" cy="505460"/>
        </a:xfrm>
        <a:prstGeom prst="rect">
          <a:avLst/>
        </a:prstGeom>
        <a:noFill/>
        <a:ln w="9525">
          <a:noFill/>
        </a:ln>
      </xdr:spPr>
    </xdr:pic>
  </etc:cellImage>
  <etc:cellImage>
    <xdr:pic>
      <xdr:nvPicPr>
        <xdr:cNvPr id="488" name="ID_215C7F447CE848CEB60AFAFF6E9517C7"/>
        <xdr:cNvPicPr>
          <a:picLocks noChangeAspect="1"/>
        </xdr:cNvPicPr>
      </xdr:nvPicPr>
      <xdr:blipFill>
        <a:blip r:embed="rId574"/>
        <a:stretch>
          <a:fillRect/>
        </a:stretch>
      </xdr:blipFill>
      <xdr:spPr>
        <a:xfrm>
          <a:off x="100046790" y="46130845"/>
          <a:ext cx="820420" cy="492125"/>
        </a:xfrm>
        <a:prstGeom prst="rect">
          <a:avLst/>
        </a:prstGeom>
        <a:noFill/>
        <a:ln w="9525">
          <a:noFill/>
        </a:ln>
      </xdr:spPr>
    </xdr:pic>
  </etc:cellImage>
  <etc:cellImage>
    <xdr:pic>
      <xdr:nvPicPr>
        <xdr:cNvPr id="489" name="ID_246DB8E065784FC7A9C23B0C12004663"/>
        <xdr:cNvPicPr>
          <a:picLocks noChangeAspect="1"/>
        </xdr:cNvPicPr>
      </xdr:nvPicPr>
      <xdr:blipFill>
        <a:blip r:embed="rId575"/>
        <a:stretch>
          <a:fillRect/>
        </a:stretch>
      </xdr:blipFill>
      <xdr:spPr>
        <a:xfrm>
          <a:off x="99961065" y="46772830"/>
          <a:ext cx="821690" cy="828040"/>
        </a:xfrm>
        <a:prstGeom prst="rect">
          <a:avLst/>
        </a:prstGeom>
        <a:noFill/>
        <a:ln w="9525">
          <a:noFill/>
        </a:ln>
      </xdr:spPr>
    </xdr:pic>
  </etc:cellImage>
  <etc:cellImage>
    <xdr:pic>
      <xdr:nvPicPr>
        <xdr:cNvPr id="490" name="ID_F553D2EE190845F0ABE9B87875B93EE7"/>
        <xdr:cNvPicPr>
          <a:picLocks noChangeAspect="1"/>
        </xdr:cNvPicPr>
      </xdr:nvPicPr>
      <xdr:blipFill>
        <a:blip r:embed="rId576"/>
        <a:stretch>
          <a:fillRect/>
        </a:stretch>
      </xdr:blipFill>
      <xdr:spPr>
        <a:xfrm>
          <a:off x="100228400" y="47523400"/>
          <a:ext cx="522605" cy="545465"/>
        </a:xfrm>
        <a:prstGeom prst="rect">
          <a:avLst/>
        </a:prstGeom>
        <a:noFill/>
        <a:ln w="9525">
          <a:noFill/>
        </a:ln>
      </xdr:spPr>
    </xdr:pic>
  </etc:cellImage>
  <etc:cellImage>
    <xdr:pic>
      <xdr:nvPicPr>
        <xdr:cNvPr id="493" name="ID_BDA5DB93E30C4699831E593EEA6F020B"/>
        <xdr:cNvPicPr>
          <a:picLocks noChangeAspect="1"/>
        </xdr:cNvPicPr>
      </xdr:nvPicPr>
      <xdr:blipFill>
        <a:blip r:embed="rId577"/>
        <a:stretch>
          <a:fillRect/>
        </a:stretch>
      </xdr:blipFill>
      <xdr:spPr>
        <a:xfrm>
          <a:off x="99974400" y="48918495"/>
          <a:ext cx="756285" cy="692150"/>
        </a:xfrm>
        <a:prstGeom prst="rect">
          <a:avLst/>
        </a:prstGeom>
        <a:noFill/>
        <a:ln w="9525">
          <a:noFill/>
        </a:ln>
      </xdr:spPr>
    </xdr:pic>
  </etc:cellImage>
  <etc:cellImage>
    <xdr:pic>
      <xdr:nvPicPr>
        <xdr:cNvPr id="494" name="ID_95A41CC8F9A84DC28131C5B2540DD652"/>
        <xdr:cNvPicPr>
          <a:picLocks noChangeAspect="1"/>
        </xdr:cNvPicPr>
      </xdr:nvPicPr>
      <xdr:blipFill>
        <a:blip r:embed="rId578"/>
        <a:stretch>
          <a:fillRect/>
        </a:stretch>
      </xdr:blipFill>
      <xdr:spPr>
        <a:xfrm>
          <a:off x="100061395" y="49536350"/>
          <a:ext cx="496570" cy="558800"/>
        </a:xfrm>
        <a:prstGeom prst="rect">
          <a:avLst/>
        </a:prstGeom>
        <a:noFill/>
        <a:ln w="9525">
          <a:noFill/>
        </a:ln>
      </xdr:spPr>
    </xdr:pic>
  </etc:cellImage>
  <etc:cellImage>
    <xdr:pic>
      <xdr:nvPicPr>
        <xdr:cNvPr id="495" name="ID_854B9C0A318A4171B613C8B9B52FAB86"/>
        <xdr:cNvPicPr>
          <a:picLocks noChangeAspect="1"/>
        </xdr:cNvPicPr>
      </xdr:nvPicPr>
      <xdr:blipFill>
        <a:blip r:embed="rId579"/>
        <a:stretch>
          <a:fillRect/>
        </a:stretch>
      </xdr:blipFill>
      <xdr:spPr>
        <a:xfrm>
          <a:off x="100087430" y="50245010"/>
          <a:ext cx="626745" cy="949960"/>
        </a:xfrm>
        <a:prstGeom prst="rect">
          <a:avLst/>
        </a:prstGeom>
        <a:noFill/>
        <a:ln w="9525">
          <a:noFill/>
        </a:ln>
      </xdr:spPr>
    </xdr:pic>
  </etc:cellImage>
  <etc:cellImage>
    <xdr:pic>
      <xdr:nvPicPr>
        <xdr:cNvPr id="496" name="ID_5AC800DF5E5F42508A100548D0CA9E22"/>
        <xdr:cNvPicPr>
          <a:picLocks noChangeAspect="1"/>
        </xdr:cNvPicPr>
      </xdr:nvPicPr>
      <xdr:blipFill>
        <a:blip r:embed="rId580"/>
        <a:stretch>
          <a:fillRect/>
        </a:stretch>
      </xdr:blipFill>
      <xdr:spPr>
        <a:xfrm>
          <a:off x="100027740" y="50967640"/>
          <a:ext cx="581025" cy="898525"/>
        </a:xfrm>
        <a:prstGeom prst="rect">
          <a:avLst/>
        </a:prstGeom>
        <a:noFill/>
        <a:ln w="9525">
          <a:noFill/>
        </a:ln>
      </xdr:spPr>
    </xdr:pic>
  </etc:cellImage>
  <etc:cellImage>
    <xdr:pic>
      <xdr:nvPicPr>
        <xdr:cNvPr id="497" name="ID_D29FE9E9C3724DFEA8BF8A78C60B4337"/>
        <xdr:cNvPicPr>
          <a:picLocks noChangeAspect="1"/>
        </xdr:cNvPicPr>
      </xdr:nvPicPr>
      <xdr:blipFill>
        <a:blip r:embed="rId581"/>
        <a:stretch>
          <a:fillRect/>
        </a:stretch>
      </xdr:blipFill>
      <xdr:spPr>
        <a:xfrm>
          <a:off x="100102670" y="51650900"/>
          <a:ext cx="527685" cy="918210"/>
        </a:xfrm>
        <a:prstGeom prst="rect">
          <a:avLst/>
        </a:prstGeom>
        <a:noFill/>
        <a:ln w="9525">
          <a:noFill/>
        </a:ln>
      </xdr:spPr>
    </xdr:pic>
  </etc:cellImage>
  <etc:cellImage>
    <xdr:pic>
      <xdr:nvPicPr>
        <xdr:cNvPr id="498" name="ID_1B8E37394CF5427B9368AAE742ECF9FF"/>
        <xdr:cNvPicPr>
          <a:picLocks noChangeAspect="1"/>
        </xdr:cNvPicPr>
      </xdr:nvPicPr>
      <xdr:blipFill>
        <a:blip r:embed="rId582"/>
        <a:stretch>
          <a:fillRect/>
        </a:stretch>
      </xdr:blipFill>
      <xdr:spPr>
        <a:xfrm>
          <a:off x="100138865" y="52294790"/>
          <a:ext cx="441325" cy="786765"/>
        </a:xfrm>
        <a:prstGeom prst="rect">
          <a:avLst/>
        </a:prstGeom>
        <a:noFill/>
        <a:ln w="9525">
          <a:noFill/>
        </a:ln>
      </xdr:spPr>
    </xdr:pic>
  </etc:cellImage>
  <etc:cellImage>
    <xdr:pic>
      <xdr:nvPicPr>
        <xdr:cNvPr id="499" name="ID_3FD79B4DD06D4D8A85DD467F5F9EE2CF"/>
        <xdr:cNvPicPr>
          <a:picLocks noChangeAspect="1"/>
        </xdr:cNvPicPr>
      </xdr:nvPicPr>
      <xdr:blipFill>
        <a:blip r:embed="rId583"/>
        <a:stretch>
          <a:fillRect/>
        </a:stretch>
      </xdr:blipFill>
      <xdr:spPr>
        <a:xfrm>
          <a:off x="100249990" y="52972335"/>
          <a:ext cx="435610" cy="745490"/>
        </a:xfrm>
        <a:prstGeom prst="rect">
          <a:avLst/>
        </a:prstGeom>
        <a:noFill/>
        <a:ln w="9525">
          <a:noFill/>
        </a:ln>
      </xdr:spPr>
    </xdr:pic>
  </etc:cellImage>
  <etc:cellImage>
    <xdr:pic>
      <xdr:nvPicPr>
        <xdr:cNvPr id="500" name="ID_3DD7C8C8553142DCAF2EF10C08C31DC9"/>
        <xdr:cNvPicPr>
          <a:picLocks noChangeAspect="1"/>
        </xdr:cNvPicPr>
      </xdr:nvPicPr>
      <xdr:blipFill>
        <a:blip r:embed="rId584"/>
        <a:stretch>
          <a:fillRect/>
        </a:stretch>
      </xdr:blipFill>
      <xdr:spPr>
        <a:xfrm>
          <a:off x="100030280" y="53647340"/>
          <a:ext cx="456565" cy="817880"/>
        </a:xfrm>
        <a:prstGeom prst="rect">
          <a:avLst/>
        </a:prstGeom>
        <a:noFill/>
        <a:ln w="9525">
          <a:noFill/>
        </a:ln>
      </xdr:spPr>
    </xdr:pic>
  </etc:cellImage>
  <etc:cellImage>
    <xdr:pic>
      <xdr:nvPicPr>
        <xdr:cNvPr id="501" name="ID_62FDC58240AB4F68A0492C2B444EA3D8"/>
        <xdr:cNvPicPr>
          <a:picLocks noChangeAspect="1"/>
        </xdr:cNvPicPr>
      </xdr:nvPicPr>
      <xdr:blipFill>
        <a:blip r:embed="rId585"/>
        <a:stretch>
          <a:fillRect/>
        </a:stretch>
      </xdr:blipFill>
      <xdr:spPr>
        <a:xfrm>
          <a:off x="100057585" y="54384575"/>
          <a:ext cx="790575" cy="757555"/>
        </a:xfrm>
        <a:prstGeom prst="rect">
          <a:avLst/>
        </a:prstGeom>
        <a:noFill/>
        <a:ln w="9525">
          <a:noFill/>
        </a:ln>
      </xdr:spPr>
    </xdr:pic>
  </etc:cellImage>
  <etc:cellImage>
    <xdr:pic>
      <xdr:nvPicPr>
        <xdr:cNvPr id="502" name="ID_10B6E67AF2C146BFB3C654CDEB57EE6F"/>
        <xdr:cNvPicPr>
          <a:picLocks noChangeAspect="1"/>
        </xdr:cNvPicPr>
      </xdr:nvPicPr>
      <xdr:blipFill>
        <a:blip r:embed="rId586"/>
        <a:stretch>
          <a:fillRect/>
        </a:stretch>
      </xdr:blipFill>
      <xdr:spPr>
        <a:xfrm>
          <a:off x="99966780" y="55111650"/>
          <a:ext cx="608330" cy="613410"/>
        </a:xfrm>
        <a:prstGeom prst="rect">
          <a:avLst/>
        </a:prstGeom>
        <a:noFill/>
        <a:ln w="9525">
          <a:noFill/>
        </a:ln>
      </xdr:spPr>
    </xdr:pic>
  </etc:cellImage>
  <etc:cellImage>
    <xdr:pic>
      <xdr:nvPicPr>
        <xdr:cNvPr id="503" name="ID_E24996269A754342A1CF0910E0529C50"/>
        <xdr:cNvPicPr>
          <a:picLocks noChangeAspect="1"/>
        </xdr:cNvPicPr>
      </xdr:nvPicPr>
      <xdr:blipFill>
        <a:blip r:embed="rId587"/>
        <a:stretch>
          <a:fillRect/>
        </a:stretch>
      </xdr:blipFill>
      <xdr:spPr>
        <a:xfrm>
          <a:off x="100018215" y="55723155"/>
          <a:ext cx="763270" cy="790575"/>
        </a:xfrm>
        <a:prstGeom prst="rect">
          <a:avLst/>
        </a:prstGeom>
        <a:noFill/>
        <a:ln w="9525">
          <a:noFill/>
        </a:ln>
      </xdr:spPr>
    </xdr:pic>
  </etc:cellImage>
  <etc:cellImage>
    <xdr:pic>
      <xdr:nvPicPr>
        <xdr:cNvPr id="411" name="ID_4D3879C50FC7439C90BBF6C11105C05C"/>
        <xdr:cNvPicPr>
          <a:picLocks noChangeAspect="1"/>
        </xdr:cNvPicPr>
      </xdr:nvPicPr>
      <xdr:blipFill>
        <a:blip r:embed="rId588"/>
        <a:stretch>
          <a:fillRect/>
        </a:stretch>
      </xdr:blipFill>
      <xdr:spPr>
        <a:xfrm>
          <a:off x="16840200" y="59941460"/>
          <a:ext cx="523240" cy="476885"/>
        </a:xfrm>
        <a:prstGeom prst="rect">
          <a:avLst/>
        </a:prstGeom>
        <a:noFill/>
        <a:ln w="9525">
          <a:noFill/>
        </a:ln>
      </xdr:spPr>
    </xdr:pic>
  </etc:cellImage>
  <etc:cellImage>
    <xdr:pic>
      <xdr:nvPicPr>
        <xdr:cNvPr id="412" name="ID_74E951BA143049389CEF722301FEB577"/>
        <xdr:cNvPicPr>
          <a:picLocks noChangeAspect="1"/>
        </xdr:cNvPicPr>
      </xdr:nvPicPr>
      <xdr:blipFill>
        <a:blip r:embed="rId589"/>
        <a:stretch>
          <a:fillRect/>
        </a:stretch>
      </xdr:blipFill>
      <xdr:spPr>
        <a:xfrm>
          <a:off x="16817340" y="59169300"/>
          <a:ext cx="636270" cy="572135"/>
        </a:xfrm>
        <a:prstGeom prst="rect">
          <a:avLst/>
        </a:prstGeom>
        <a:noFill/>
        <a:ln w="9525">
          <a:noFill/>
        </a:ln>
      </xdr:spPr>
    </xdr:pic>
  </etc:cellImage>
  <etc:cellImage>
    <xdr:pic>
      <xdr:nvPicPr>
        <xdr:cNvPr id="413" name="ID_8424A210BA13403482DC6424B5EA667C"/>
        <xdr:cNvPicPr>
          <a:picLocks noChangeAspect="1"/>
        </xdr:cNvPicPr>
      </xdr:nvPicPr>
      <xdr:blipFill>
        <a:blip r:embed="rId590"/>
        <a:stretch>
          <a:fillRect/>
        </a:stretch>
      </xdr:blipFill>
      <xdr:spPr>
        <a:xfrm>
          <a:off x="64799845" y="9751695"/>
          <a:ext cx="748665" cy="582295"/>
        </a:xfrm>
        <a:prstGeom prst="rect">
          <a:avLst/>
        </a:prstGeom>
        <a:noFill/>
        <a:ln w="9525">
          <a:noFill/>
        </a:ln>
      </xdr:spPr>
    </xdr:pic>
  </etc:cellImage>
  <etc:cellImage>
    <xdr:pic>
      <xdr:nvPicPr>
        <xdr:cNvPr id="414" name="ID_CB2E8D48110D47BB8120D7DDEE69A3AA"/>
        <xdr:cNvPicPr>
          <a:picLocks noChangeAspect="1"/>
        </xdr:cNvPicPr>
      </xdr:nvPicPr>
      <xdr:blipFill>
        <a:blip r:embed="rId591"/>
        <a:stretch>
          <a:fillRect/>
        </a:stretch>
      </xdr:blipFill>
      <xdr:spPr>
        <a:xfrm>
          <a:off x="64804925" y="9126220"/>
          <a:ext cx="835660" cy="580390"/>
        </a:xfrm>
        <a:prstGeom prst="rect">
          <a:avLst/>
        </a:prstGeom>
        <a:noFill/>
        <a:ln w="9525">
          <a:noFill/>
        </a:ln>
      </xdr:spPr>
    </xdr:pic>
  </etc:cellImage>
  <etc:cellImage>
    <xdr:pic>
      <xdr:nvPicPr>
        <xdr:cNvPr id="504" name="ID_045EE8B7FDDB484886BBA5C0911DE437"/>
        <xdr:cNvPicPr>
          <a:picLocks noChangeAspect="1"/>
        </xdr:cNvPicPr>
      </xdr:nvPicPr>
      <xdr:blipFill>
        <a:blip r:embed="rId592" r:link="rId112"/>
        <a:stretch>
          <a:fillRect/>
        </a:stretch>
      </xdr:blipFill>
      <xdr:spPr>
        <a:xfrm>
          <a:off x="64889380" y="4966970"/>
          <a:ext cx="588645" cy="275590"/>
        </a:xfrm>
        <a:prstGeom prst="rect">
          <a:avLst/>
        </a:prstGeom>
        <a:noFill/>
        <a:ln>
          <a:noFill/>
        </a:ln>
      </xdr:spPr>
    </xdr:pic>
  </etc:cellImage>
  <etc:cellImage>
    <xdr:pic>
      <xdr:nvPicPr>
        <xdr:cNvPr id="505" name="ID_F62B076B249E4C5084D54B58A7D9DE5C"/>
        <xdr:cNvPicPr>
          <a:picLocks noChangeAspect="1"/>
        </xdr:cNvPicPr>
      </xdr:nvPicPr>
      <xdr:blipFill>
        <a:blip r:embed="rId593"/>
        <a:stretch>
          <a:fillRect/>
        </a:stretch>
      </xdr:blipFill>
      <xdr:spPr>
        <a:xfrm>
          <a:off x="64907795" y="4258945"/>
          <a:ext cx="662305" cy="497840"/>
        </a:xfrm>
        <a:prstGeom prst="rect">
          <a:avLst/>
        </a:prstGeom>
        <a:noFill/>
        <a:ln w="9525">
          <a:noFill/>
        </a:ln>
      </xdr:spPr>
    </xdr:pic>
  </etc:cellImage>
  <etc:cellImage>
    <xdr:pic>
      <xdr:nvPicPr>
        <xdr:cNvPr id="506" name="ID_38E1209A355B4ED3B3F7535CFB52703F"/>
        <xdr:cNvPicPr>
          <a:picLocks noChangeAspect="1"/>
        </xdr:cNvPicPr>
      </xdr:nvPicPr>
      <xdr:blipFill>
        <a:blip r:embed="rId594"/>
        <a:stretch>
          <a:fillRect/>
        </a:stretch>
      </xdr:blipFill>
      <xdr:spPr>
        <a:xfrm>
          <a:off x="64996060" y="3550920"/>
          <a:ext cx="490855" cy="467360"/>
        </a:xfrm>
        <a:prstGeom prst="rect">
          <a:avLst/>
        </a:prstGeom>
        <a:noFill/>
        <a:ln w="9525">
          <a:noFill/>
        </a:ln>
      </xdr:spPr>
    </xdr:pic>
  </etc:cellImage>
  <etc:cellImage>
    <xdr:pic>
      <xdr:nvPicPr>
        <xdr:cNvPr id="81" name="ID_CC2BE7D0BB934619B8AA5AAB2025C786"/>
        <xdr:cNvPicPr>
          <a:picLocks noChangeAspect="1"/>
        </xdr:cNvPicPr>
      </xdr:nvPicPr>
      <xdr:blipFill>
        <a:blip r:embed="rId595"/>
        <a:stretch>
          <a:fillRect/>
        </a:stretch>
      </xdr:blipFill>
      <xdr:spPr>
        <a:xfrm>
          <a:off x="4384040" y="298709080"/>
          <a:ext cx="762000" cy="426720"/>
        </a:xfrm>
        <a:prstGeom prst="rect">
          <a:avLst/>
        </a:prstGeom>
        <a:noFill/>
        <a:ln w="9525">
          <a:noFill/>
        </a:ln>
      </xdr:spPr>
    </xdr:pic>
  </etc:cellImage>
</etc:cellImages>
</file>

<file path=xl/sharedStrings.xml><?xml version="1.0" encoding="utf-8"?>
<sst xmlns="http://schemas.openxmlformats.org/spreadsheetml/2006/main" count="3677" uniqueCount="2161">
  <si>
    <t>玩具采购清单</t>
  </si>
  <si>
    <t>名称</t>
  </si>
  <si>
    <t>品牌</t>
  </si>
  <si>
    <t>型号或产品编码</t>
  </si>
  <si>
    <t>材质</t>
  </si>
  <si>
    <t>尺寸</t>
  </si>
  <si>
    <t>参考图</t>
  </si>
  <si>
    <t>单位</t>
  </si>
  <si>
    <t>数量</t>
  </si>
  <si>
    <t>水池1</t>
  </si>
  <si>
    <t>富聪</t>
  </si>
  <si>
    <t>加厚2*3小水池</t>
  </si>
  <si>
    <t>塑料</t>
  </si>
  <si>
    <t>2米×3米，30厘米高</t>
  </si>
  <si>
    <t>个</t>
  </si>
  <si>
    <t>水池2</t>
  </si>
  <si>
    <t>加厚3*5无缝小水池</t>
  </si>
  <si>
    <t>5米×6米，30厘米高</t>
  </si>
  <si>
    <t>榫卯系列1</t>
  </si>
  <si>
    <t>七色花</t>
  </si>
  <si>
    <t>QSH21035</t>
  </si>
  <si>
    <t>榉木</t>
  </si>
  <si>
    <t>22*20*5CM</t>
  </si>
  <si>
    <t>榫卯系列2</t>
  </si>
  <si>
    <t>QSH21034</t>
  </si>
  <si>
    <t>榫卯系列3</t>
  </si>
  <si>
    <t>QSH21036</t>
  </si>
  <si>
    <t>榫卯系列4</t>
  </si>
  <si>
    <t>QSH23001</t>
  </si>
  <si>
    <t>榫卯系列5</t>
  </si>
  <si>
    <t>QSH23002</t>
  </si>
  <si>
    <t>榫卯系列6</t>
  </si>
  <si>
    <t>QSH23003</t>
  </si>
  <si>
    <t>榫卯系列7</t>
  </si>
  <si>
    <t>QSH23004</t>
  </si>
  <si>
    <t>榫卯系列8</t>
  </si>
  <si>
    <t>QSH23005</t>
  </si>
  <si>
    <t>榫卯系列9</t>
  </si>
  <si>
    <t>QSH23006</t>
  </si>
  <si>
    <t>大型泡沫积木</t>
  </si>
  <si>
    <t>vicitoys</t>
  </si>
  <si>
    <t>环保加厚2孔方砖积木80个彩色</t>
  </si>
  <si>
    <t>epp泡沫</t>
  </si>
  <si>
    <t>外径：165*165*63cm
内径：135*135*63cm
单个方砖尺寸：30cm*15cm*15cm*3cm</t>
  </si>
  <si>
    <t>套</t>
  </si>
  <si>
    <t>泡沫喷射机</t>
  </si>
  <si>
    <t>WKF</t>
  </si>
  <si>
    <t xml:space="preserve">黑色 2500瓦 立式 木架包装 </t>
  </si>
  <si>
    <t>金属</t>
  </si>
  <si>
    <t>120*65*110cm</t>
  </si>
  <si>
    <t>泡泡机</t>
  </si>
  <si>
    <t>浣棕</t>
  </si>
  <si>
    <t xml:space="preserve">双叶轮遥控 可调节角度 粉色 </t>
  </si>
  <si>
    <t>加厚塑料外壳</t>
  </si>
  <si>
    <t>48*34.5*34cm</t>
  </si>
  <si>
    <t>双层动物拼图1</t>
  </si>
  <si>
    <t xml:space="preserve">QYR523074
</t>
  </si>
  <si>
    <t>桦木夹板ps板
塑料卡片</t>
  </si>
  <si>
    <t>34*34cm</t>
  </si>
  <si>
    <t>双层动物拼图2</t>
  </si>
  <si>
    <t xml:space="preserve">
QYR523075
</t>
  </si>
  <si>
    <t>双层动物拼图3</t>
  </si>
  <si>
    <t xml:space="preserve">
QYR523076
</t>
  </si>
  <si>
    <t>双层动物拼图4</t>
  </si>
  <si>
    <t xml:space="preserve">
QYR523077</t>
  </si>
  <si>
    <t>毛毛虫吃苹果</t>
  </si>
  <si>
    <t>七色花幼</t>
  </si>
  <si>
    <t>QHB377054</t>
  </si>
  <si>
    <t>木质</t>
  </si>
  <si>
    <t>夹子配对游戏</t>
  </si>
  <si>
    <t>QHB188974</t>
  </si>
  <si>
    <t>21*21CM</t>
  </si>
  <si>
    <t>节日拼图1</t>
  </si>
  <si>
    <t>七色花幼教资源2024-267-268</t>
  </si>
  <si>
    <t xml:space="preserve">QSH21004
</t>
  </si>
  <si>
    <t>32*29*3CM</t>
  </si>
  <si>
    <t>节日拼图2</t>
  </si>
  <si>
    <t xml:space="preserve">
QSH21005
</t>
  </si>
  <si>
    <t>节日拼图3</t>
  </si>
  <si>
    <t xml:space="preserve">
QSH21006
</t>
  </si>
  <si>
    <t>节日拼图4</t>
  </si>
  <si>
    <t xml:space="preserve">
QSH21007</t>
  </si>
  <si>
    <t>五层镶嵌拼图</t>
  </si>
  <si>
    <t>七色花幼教资源2024-277</t>
  </si>
  <si>
    <t xml:space="preserve">QHB303768
</t>
  </si>
  <si>
    <t>15*15CM</t>
  </si>
  <si>
    <t>QHB301648</t>
  </si>
  <si>
    <t>迷你砖头</t>
  </si>
  <si>
    <t>七色花幼教资源2024-109-</t>
  </si>
  <si>
    <t>QG6776</t>
  </si>
  <si>
    <t>TPR塑料 内部金属</t>
  </si>
  <si>
    <t>26.7*26.7*7.6cm</t>
  </si>
  <si>
    <t>彩虹金字塔堆叠玩具</t>
  </si>
  <si>
    <t>QG5066</t>
  </si>
  <si>
    <t>实木框 亚克力</t>
  </si>
  <si>
    <t>37*26*9cm</t>
  </si>
  <si>
    <t>彩虹积木——微光水</t>
  </si>
  <si>
    <t>七色花幼教资源2024-110-</t>
  </si>
  <si>
    <t>QG3013</t>
  </si>
  <si>
    <t>22*8*22cm</t>
  </si>
  <si>
    <t>彩虹积木10块装</t>
  </si>
  <si>
    <t>QG3015</t>
  </si>
  <si>
    <t>科学物理实验台玩具</t>
  </si>
  <si>
    <t>七色花幼教资源2024-166-</t>
  </si>
  <si>
    <t>QE3028</t>
  </si>
  <si>
    <t>塑料 夹板 实木</t>
  </si>
  <si>
    <t>52*36*6cm</t>
  </si>
  <si>
    <t>科学物理实验组合套玩具</t>
  </si>
  <si>
    <t>七色花幼教资源2024-167-</t>
  </si>
  <si>
    <t>QG3030</t>
  </si>
  <si>
    <t>26*24*5cm</t>
  </si>
  <si>
    <t>科学物理实验进阶套玩具</t>
  </si>
  <si>
    <t>QE3032</t>
  </si>
  <si>
    <t>39*30*7cm</t>
  </si>
  <si>
    <t>捉虫帮手</t>
  </si>
  <si>
    <t>七色花幼教资源2024-252-</t>
  </si>
  <si>
    <t>QHB158842</t>
  </si>
  <si>
    <t>32*32*8.5CM</t>
  </si>
  <si>
    <t>彩虹球</t>
  </si>
  <si>
    <t>QHB158790</t>
  </si>
  <si>
    <t>21×8cm（包装尺寸）</t>
  </si>
  <si>
    <t>形状大小颜色学习板</t>
  </si>
  <si>
    <t>七色花幼教资源2024-253-</t>
  </si>
  <si>
    <t>QME03744</t>
  </si>
  <si>
    <t xml:space="preserve"> 木质</t>
  </si>
  <si>
    <t>38.5*5.8*38.5CM</t>
  </si>
  <si>
    <t>抓手拼图——交通工具</t>
  </si>
  <si>
    <t>QRL220.3551</t>
  </si>
  <si>
    <t>28*28*2.5CM</t>
  </si>
  <si>
    <t>抓手工具——青蛙</t>
  </si>
  <si>
    <t>QRL220.3532</t>
  </si>
  <si>
    <t>彩虹拼图</t>
  </si>
  <si>
    <t>QRL220.3441</t>
  </si>
  <si>
    <t>24.5*24.5*1CM</t>
  </si>
  <si>
    <t>垫子</t>
  </si>
  <si>
    <t>JINNIU</t>
  </si>
  <si>
    <t>2米*1米*10厘米
防滑格折叠（草绿色）</t>
  </si>
  <si>
    <t>皮革</t>
  </si>
  <si>
    <t>2米*1米*10厘米</t>
  </si>
  <si>
    <t>中空长方形1</t>
  </si>
  <si>
    <t>空心积木</t>
  </si>
  <si>
    <t>15*30*30cm</t>
  </si>
  <si>
    <t>新西兰松木</t>
  </si>
  <si>
    <t>中空长方形2</t>
  </si>
  <si>
    <t>15*60*30cm</t>
  </si>
  <si>
    <t>中空长方形3</t>
  </si>
  <si>
    <t>15*30*15cm</t>
  </si>
  <si>
    <t>中空长方形4</t>
  </si>
  <si>
    <t>7.5*60*15cm</t>
  </si>
  <si>
    <t>中空拱桥</t>
  </si>
  <si>
    <t>中空半圆</t>
  </si>
  <si>
    <t>横板1</t>
  </si>
  <si>
    <t>1.5*45*9cm</t>
  </si>
  <si>
    <t>横板2</t>
  </si>
  <si>
    <t>2*120*15cm</t>
  </si>
  <si>
    <t>中空长方形5</t>
  </si>
  <si>
    <t>7.5*30*15cm</t>
  </si>
  <si>
    <t>中空长方形6</t>
  </si>
  <si>
    <t>7.5*15*15cm</t>
  </si>
  <si>
    <t>中空三角形</t>
  </si>
  <si>
    <t>中空斜坡</t>
  </si>
  <si>
    <t>儿童光学专用电子显微镜</t>
  </si>
  <si>
    <t>当当狸</t>
  </si>
  <si>
    <t>达尔文M2C</t>
  </si>
  <si>
    <t>ABS环保材料及电子元件</t>
  </si>
  <si>
    <t>台</t>
  </si>
  <si>
    <t>球门</t>
  </si>
  <si>
    <t>乐派</t>
  </si>
  <si>
    <t>120*100*100cm单个编织网加</t>
  </si>
  <si>
    <t>不锈钢/尼龙</t>
  </si>
  <si>
    <t>120*100*100cm</t>
  </si>
  <si>
    <t xml:space="preserve">个 </t>
  </si>
  <si>
    <t>纳诺精灵仿生机械昆虫子拼插装轨道电动机器人玩具</t>
  </si>
  <si>
    <t>赫宝</t>
  </si>
  <si>
    <t>闪电纳诺精灵园地套装（含1只闪电 2只经典）</t>
  </si>
  <si>
    <t>485*320*95mm</t>
  </si>
  <si>
    <t>仿生机械昆虫</t>
  </si>
  <si>
    <t>【太空探险飞索套装】 一只1代经典虫子+26个组件</t>
  </si>
  <si>
    <t xml:space="preserve">机械手  </t>
  </si>
  <si>
    <t xml:space="preserve">
0
构建系列-机械手</t>
  </si>
  <si>
    <t>机械系列1</t>
  </si>
  <si>
    <t>0
传球机系列-螺旋式输送机</t>
  </si>
  <si>
    <t>机械系列2</t>
  </si>
  <si>
    <t>0
传球机系列-叉式升降机</t>
  </si>
  <si>
    <t>机械系列3</t>
  </si>
  <si>
    <t xml:space="preserve">
0
传球机系列-六角连环传输机</t>
  </si>
  <si>
    <t>65*85mm</t>
  </si>
  <si>
    <t>ai智能棋类游戏</t>
  </si>
  <si>
    <t>DDL-GB01智能棋盘/81键【9种经典游戏】</t>
  </si>
  <si>
    <t>DDL-GB01</t>
  </si>
  <si>
    <t>音乐键盘</t>
  </si>
  <si>
    <t>cubyfun</t>
  </si>
  <si>
    <t>DZQ235
Easyplay口袋音乐键盘(【主机+乐谱+贴纸+数据线】)</t>
  </si>
  <si>
    <t>70*80cm</t>
  </si>
  <si>
    <t>发条钟表</t>
  </si>
  <si>
    <t>童创Steam科技</t>
  </si>
  <si>
    <t>DIY拼装发条钟表</t>
  </si>
  <si>
    <t>21*19.5*3cm</t>
  </si>
  <si>
    <t>儿童磁力积木块</t>
  </si>
  <si>
    <t>mideer弥鹿</t>
  </si>
  <si>
    <t>MD1420【高阶创造】磁力积木-92pcs</t>
  </si>
  <si>
    <t>ABS/磁铁</t>
  </si>
  <si>
    <t>儿童磁力片</t>
  </si>
  <si>
    <t>MD1142【B组合160片】100片彩窗+60片</t>
  </si>
  <si>
    <t>百变磁力棒</t>
  </si>
  <si>
    <t>MD1170【专利六角互动桶】200件</t>
  </si>
  <si>
    <t>ABS环保材料</t>
  </si>
  <si>
    <t>趣味玩乐管道积木</t>
  </si>
  <si>
    <t>YSR奕思瑞</t>
  </si>
  <si>
    <t>1212211331【升级款】218件装含12车轮+升级收</t>
  </si>
  <si>
    <t>65*45*60cm</t>
  </si>
  <si>
    <t>儿童浴室滚珠球轨道</t>
  </si>
  <si>
    <t>SIBEISI</t>
  </si>
  <si>
    <t>8366-26A拼装轨道游戏（66PCS）</t>
  </si>
  <si>
    <t xml:space="preserve">
光华菱形积木益智玩具</t>
  </si>
  <si>
    <t xml:space="preserve">
Learning Mates/光华玩具</t>
  </si>
  <si>
    <t>29001水晶菱形积木高级装32片装</t>
  </si>
  <si>
    <t>可编程机器人电动积木</t>
  </si>
  <si>
    <t>途道</t>
  </si>
  <si>
    <t>TD-Box-RE【高阶电动版】130节课❤430+颗粒+200+</t>
  </si>
  <si>
    <t>TD-Box-RE</t>
  </si>
  <si>
    <t xml:space="preserve">
小河狸创客小颗粒积</t>
  </si>
  <si>
    <t xml:space="preserve">
小河狸创客</t>
  </si>
  <si>
    <t>太空探险全套积木+8节原创动画课程+8天</t>
  </si>
  <si>
    <t>50*15*45cm</t>
  </si>
  <si>
    <t>儿童大颗粒积木电动齿轮机械</t>
  </si>
  <si>
    <t xml:space="preserve">
丁丁益趣</t>
  </si>
  <si>
    <t>【1-3阶完整版】329颗粒300造型 送收纳桶</t>
  </si>
  <si>
    <t>65*35*50mm</t>
  </si>
  <si>
    <t>布鲁可百变乐园积木盒</t>
  </si>
  <si>
    <t>布鲁可</t>
  </si>
  <si>
    <t>80138创造大师-百变乐园</t>
  </si>
  <si>
    <t>163*295mm</t>
  </si>
  <si>
    <t>布鲁可创造大师积木盒百变家园</t>
  </si>
  <si>
    <t>80138创造大师-百变家园</t>
  </si>
  <si>
    <t>布鲁可大颗粒拼插积木遥控导弹车</t>
  </si>
  <si>
    <t>62109鲁鲁遥控导弹车</t>
  </si>
  <si>
    <t>孩之宝大富翁游戏棋</t>
  </si>
  <si>
    <t xml:space="preserve">
Hasbro/孩之宝</t>
  </si>
  <si>
    <t xml:space="preserve">
C1009地产大亨经典版</t>
  </si>
  <si>
    <t>硬纸板类</t>
  </si>
  <si>
    <t>40*27cm</t>
  </si>
  <si>
    <t xml:space="preserve">
孩之宝 地产大亨 </t>
  </si>
  <si>
    <t>Hasbro/孩之宝</t>
  </si>
  <si>
    <t xml:space="preserve">
C1009骗徒行者二代 大富翁</t>
  </si>
  <si>
    <t>HABA儿童桌游动物园十合一</t>
  </si>
  <si>
    <t>HABA</t>
  </si>
  <si>
    <t>305173疯狂动物园10合1</t>
  </si>
  <si>
    <t>特宝儿 趣味玩具</t>
  </si>
  <si>
    <t>bilibili bemoe</t>
  </si>
  <si>
    <t>121098特宝儿节奏魔方</t>
  </si>
  <si>
    <t>19.7*17*24.2cm</t>
  </si>
  <si>
    <t>儿童益智思维玩具磁力消防车</t>
  </si>
  <si>
    <t>蛋宝乐</t>
  </si>
  <si>
    <t>5004磁力片拼装消防车（可遥控 可编程 A</t>
  </si>
  <si>
    <t>54.5*34*9cm</t>
  </si>
  <si>
    <t>城市大冒险益智迷宫华容道移车出库</t>
  </si>
  <si>
    <t xml:space="preserve">
孩思奇</t>
  </si>
  <si>
    <t>城市大冒险-电商盒包装 送电池和螺丝</t>
  </si>
  <si>
    <t>42*55cm</t>
  </si>
  <si>
    <t>Wikibox开放式玩具 超轻磁力片</t>
  </si>
  <si>
    <t>Wikibox</t>
  </si>
  <si>
    <t>【翻转版-超轻软磁片】56片/缤纷套</t>
  </si>
  <si>
    <t>儿童益智维修工具箱</t>
  </si>
  <si>
    <t>趣然</t>
  </si>
  <si>
    <t>148件套】⭐拧螺丝加大工具箱+【亲子-双电动电钻】</t>
  </si>
  <si>
    <t>ABS，PP</t>
  </si>
  <si>
    <t>53*35*54cm</t>
  </si>
  <si>
    <t>我的世界磁立方块1</t>
  </si>
  <si>
    <t>PX MASTER</t>
  </si>
  <si>
    <t xml:space="preserve">溪涧小居-107颗 </t>
  </si>
  <si>
    <t xml:space="preserve">套 </t>
  </si>
  <si>
    <t>我的世界磁立方块2</t>
  </si>
  <si>
    <t>丛林传送-384颗 【送12个公仔</t>
  </si>
  <si>
    <t>我的世界磁立方块3</t>
  </si>
  <si>
    <t xml:space="preserve">机关山洞-224颗 【送7个公仔】
</t>
  </si>
  <si>
    <t>拼图1</t>
  </si>
  <si>
    <t>TOI</t>
  </si>
  <si>
    <t>收纳款】3阶野生动物</t>
  </si>
  <si>
    <t>拼图2</t>
  </si>
  <si>
    <t>3阶交通工具</t>
  </si>
  <si>
    <t>拼图3</t>
  </si>
  <si>
    <t>4阶恐龙时代</t>
  </si>
  <si>
    <t>拼图4</t>
  </si>
  <si>
    <t>4阶中国节日</t>
  </si>
  <si>
    <t>拼图5</t>
  </si>
  <si>
    <t>5阶探访宇宙</t>
  </si>
  <si>
    <t>拼图6</t>
  </si>
  <si>
    <t>6阶航天航空</t>
  </si>
  <si>
    <t>拼图7</t>
  </si>
  <si>
    <t>7阶自然博物馆</t>
  </si>
  <si>
    <t>拼图8</t>
  </si>
  <si>
    <t>7阶历史长河</t>
  </si>
  <si>
    <t>语言区听力耳机</t>
  </si>
  <si>
    <t>七色彩虹</t>
  </si>
  <si>
    <t>20240901绿色耳机+内存卡+读卡器</t>
  </si>
  <si>
    <t>21*29.7cm</t>
  </si>
  <si>
    <t>语言区听力材料1</t>
  </si>
  <si>
    <t>20240901小班听力闯关+绘本听力</t>
  </si>
  <si>
    <t>纸类</t>
  </si>
  <si>
    <t>语言区听力材料2</t>
  </si>
  <si>
    <t>20240901中班听力闯关+绘本听力</t>
  </si>
  <si>
    <t>ai对话</t>
  </si>
  <si>
    <t>Haivivi</t>
  </si>
  <si>
    <t>H100红色</t>
  </si>
  <si>
    <t>65*28*28mm</t>
  </si>
  <si>
    <t>音乐跳舞毯</t>
  </si>
  <si>
    <t>热血龙</t>
  </si>
  <si>
    <t xml:space="preserve">
RXL-AIZNTWT无需电视 按键发光】发光款黑+AI机器人</t>
  </si>
  <si>
    <t>90*80cm</t>
  </si>
  <si>
    <t>显微镜1</t>
  </si>
  <si>
    <t>onefire</t>
  </si>
  <si>
    <t>【C0811052】240430+008大屏两用显微镜【原装32G内存卡】+加配48片标本</t>
  </si>
  <si>
    <t>120*264.5*170mm</t>
  </si>
  <si>
    <t>儿童益智积木</t>
  </si>
  <si>
    <t xml:space="preserve">
电子科教积木【C0811050】240307+009机器人动力套装-初阶版】300玩法+96节课(可考试-含机器人一二级考试器材)+收纳箱
</t>
  </si>
  <si>
    <t>ABS，PP、pc</t>
  </si>
  <si>
    <t>46.5*35.5*8.2cm</t>
  </si>
  <si>
    <t>大师积木</t>
  </si>
  <si>
    <t>科学罐头</t>
  </si>
  <si>
    <t xml:space="preserve">
1601192023gv0003大师积木礼盒套装</t>
  </si>
  <si>
    <t>35.5*29*10cm</t>
  </si>
  <si>
    <t>重力轨道积木</t>
  </si>
  <si>
    <t>睿思</t>
  </si>
  <si>
    <t>基础版初始套装(124个组件)重力</t>
  </si>
  <si>
    <t>塑料、金属、纸板</t>
  </si>
  <si>
    <t>338*110*338mm</t>
  </si>
  <si>
    <t>编程机器人</t>
  </si>
  <si>
    <t>DOGBLE EAGLE</t>
  </si>
  <si>
    <t>两个编程机器人【特惠套装】 C83001+C8300</t>
  </si>
  <si>
    <t>25*22*8cm</t>
  </si>
  <si>
    <t>电路实验积木</t>
  </si>
  <si>
    <t>卡宇</t>
  </si>
  <si>
    <t>2000+拼趣味电子积木【收纳箱】送电池+百集教学视</t>
  </si>
  <si>
    <t>40*29*10cm</t>
  </si>
  <si>
    <t>儿童航天电子积木1</t>
  </si>
  <si>
    <t>益之宝</t>
  </si>
  <si>
    <t>【158种电路玩法】送精美手提礼盒+太空主题</t>
  </si>
  <si>
    <t>塑料/电子元件</t>
  </si>
  <si>
    <t>30*8.5*41cm</t>
  </si>
  <si>
    <t>儿童航天电子积木2</t>
  </si>
  <si>
    <t xml:space="preserve">
2688kx158种电路玩法】送精美手提礼盒+科教主题</t>
  </si>
  <si>
    <t>电动积木百变齿轮</t>
  </si>
  <si>
    <t>米佳</t>
  </si>
  <si>
    <t xml:space="preserve">恐龙+航天31件套【送电池螺丝刀】
</t>
  </si>
  <si>
    <t>ABS</t>
  </si>
  <si>
    <t>航天积木</t>
  </si>
  <si>
    <t>lalaplay</t>
  </si>
  <si>
    <t>JK8501破晓荣耀火箭（可拆变核心舱+自带灯组+多重机械臂）</t>
  </si>
  <si>
    <t>430*290*110mm</t>
  </si>
  <si>
    <t>电路工具</t>
  </si>
  <si>
    <t>弥鹿</t>
  </si>
  <si>
    <t xml:space="preserve">
MD3402电路工程师- 物理电学教具</t>
  </si>
  <si>
    <t>塑料及电子元器件</t>
  </si>
  <si>
    <t>30*21.4*11.2cm</t>
  </si>
  <si>
    <t>模拟气象站</t>
  </si>
  <si>
    <t xml:space="preserve">
1600212021gv001天气气象站（蓝色款）</t>
  </si>
  <si>
    <t>22*25*19.5cm</t>
  </si>
  <si>
    <t>儿童ai智能电子棋</t>
  </si>
  <si>
    <t>俏皮谷</t>
  </si>
  <si>
    <t>【灰底】18种智能多功能棋【AI教学/单人/多人对战/ 联网</t>
  </si>
  <si>
    <t>265*210*24mm</t>
  </si>
  <si>
    <t>儿童呲水枪</t>
  </si>
  <si>
    <t>智宝</t>
  </si>
  <si>
    <t>168-600C水枪+头盔+大灭火器</t>
  </si>
  <si>
    <t>DeepSeek大模型豆包ai智能对话AI</t>
  </si>
  <si>
    <t>光启拾乐</t>
  </si>
  <si>
    <t>AI小芯白色-小飞侠（豆包DeepSeek-永久</t>
  </si>
  <si>
    <t>170*120*100mm</t>
  </si>
  <si>
    <t>海滩沙漏</t>
  </si>
  <si>
    <t xml:space="preserve">
15447海滩溢出漏斗</t>
  </si>
  <si>
    <t>27.9*16.51cm</t>
  </si>
  <si>
    <t>挖沙玩具</t>
  </si>
  <si>
    <t>希尔宝</t>
  </si>
  <si>
    <t>152挖沙护手工具</t>
  </si>
  <si>
    <t>35*16cm</t>
  </si>
  <si>
    <t>室内高尔夫推杆练习</t>
  </si>
  <si>
    <t>pgm</t>
  </si>
  <si>
    <t xml:space="preserve">
KTL004草坪版【带轨道】2.5米练习器+挡板</t>
  </si>
  <si>
    <t>35*250cm</t>
  </si>
  <si>
    <t>水气球</t>
  </si>
  <si>
    <t>腾玄</t>
  </si>
  <si>
    <t>蓝色1.5L压力喷水壶+100个气球【自动封口】</t>
  </si>
  <si>
    <t>水上漂浮玩具</t>
  </si>
  <si>
    <t>seven jewels</t>
  </si>
  <si>
    <t>QB-7-10正版ABC冲浪板【可承重180斤】</t>
  </si>
  <si>
    <t>环保PVC</t>
  </si>
  <si>
    <t>119*58cm</t>
  </si>
  <si>
    <t>漂浮玩具</t>
  </si>
  <si>
    <t>孩之宝</t>
  </si>
  <si>
    <t>号小号三只</t>
  </si>
  <si>
    <t>PC</t>
  </si>
  <si>
    <t>17*33cm</t>
  </si>
  <si>
    <t>儿童扭扭棒玩具</t>
  </si>
  <si>
    <t>创意潮流</t>
  </si>
  <si>
    <t>百变扭扭绳【50】个</t>
  </si>
  <si>
    <t>4*6cm</t>
  </si>
  <si>
    <t>百变拉拉乐魔尺益智玩具</t>
  </si>
  <si>
    <t>264963110个百变拉拉魔方</t>
  </si>
  <si>
    <t>36cm</t>
  </si>
  <si>
    <t>儿童水池</t>
  </si>
  <si>
    <t>永嘉</t>
  </si>
  <si>
    <t>充气气模水池</t>
  </si>
  <si>
    <t>pvc pe</t>
  </si>
  <si>
    <t>6米*8米</t>
  </si>
  <si>
    <t>地垫收纳架</t>
  </si>
  <si>
    <t>收纳架</t>
  </si>
  <si>
    <t>130CM*宽65CM*高120CM（带轮子的高度）</t>
  </si>
  <si>
    <t>组</t>
  </si>
  <si>
    <t>TC-24075-1童才雪花片</t>
  </si>
  <si>
    <t>童才</t>
  </si>
  <si>
    <t>TC-24075-1
大大号X5.3cm</t>
  </si>
  <si>
    <t>大大号X5.3cm 523件/套</t>
  </si>
  <si>
    <t>箱</t>
  </si>
  <si>
    <t>TC-24034童才特大梅花积木</t>
  </si>
  <si>
    <t>TC-24034
15cm</t>
  </si>
  <si>
    <t>15cm 65件/套</t>
  </si>
  <si>
    <t>TC-24085童才软体智能积木</t>
  </si>
  <si>
    <t>TC-24085
280件|箱</t>
  </si>
  <si>
    <t>软塑料</t>
  </si>
  <si>
    <t>285件/套</t>
  </si>
  <si>
    <t>大EVA积木(48块)</t>
  </si>
  <si>
    <t>QSH21021
69x29x21cm(包装尺寸)，厚度约7cm</t>
  </si>
  <si>
    <t>EVA</t>
  </si>
  <si>
    <t>厚度约7cm 48件/套</t>
  </si>
  <si>
    <t>特大多彩软体积木</t>
  </si>
  <si>
    <t>QSH21022
87x32x24cm(包装尺寸)厚8cm/54块</t>
  </si>
  <si>
    <t>厚8cm 54件/套</t>
  </si>
  <si>
    <t>木质感泡沫积木</t>
  </si>
  <si>
    <t>斯尔福</t>
  </si>
  <si>
    <t>48块</t>
  </si>
  <si>
    <t>48块/套</t>
  </si>
  <si>
    <t>童才几何图形空心雪花(25cm)</t>
  </si>
  <si>
    <t>TC-24029
50件/箱</t>
  </si>
  <si>
    <t>25cm 50件/套</t>
  </si>
  <si>
    <t>童才特大几何雪花</t>
  </si>
  <si>
    <t>TC-24026
36件/箱X26cm</t>
  </si>
  <si>
    <t>26cm 36件/套</t>
  </si>
  <si>
    <t>体育训练组合
A-1</t>
  </si>
  <si>
    <t>永亮</t>
  </si>
  <si>
    <t>YL-05405</t>
  </si>
  <si>
    <t>异形</t>
  </si>
  <si>
    <t>件</t>
  </si>
  <si>
    <t>体育训练组合
A-2</t>
  </si>
  <si>
    <t>体育训练组合
A-3</t>
  </si>
  <si>
    <t>体育训练组合
A-4</t>
  </si>
  <si>
    <t>小鸭滑车
（5座4轮）</t>
  </si>
  <si>
    <t>YL-01602</t>
  </si>
  <si>
    <t>217*25*64cm</t>
  </si>
  <si>
    <t>小马滑车
（5座4轮）</t>
  </si>
  <si>
    <t>YL-01603</t>
  </si>
  <si>
    <t>210*27*60cm</t>
  </si>
  <si>
    <t>塑料镂空积木</t>
  </si>
  <si>
    <t>旺丰</t>
  </si>
  <si>
    <t>一块</t>
  </si>
  <si>
    <t>10cm-23cm</t>
  </si>
  <si>
    <t>块</t>
  </si>
  <si>
    <t>卡通投靶器带凸点</t>
  </si>
  <si>
    <t>YL-04605</t>
  </si>
  <si>
    <t>57*41*103cm</t>
  </si>
  <si>
    <t>蓝色2
绿色2
黄色1
紫色1</t>
  </si>
  <si>
    <t>多用跨栏</t>
  </si>
  <si>
    <t>YL-06002</t>
  </si>
  <si>
    <t>83*22*58cm 4个/组</t>
  </si>
  <si>
    <t>独轮车（滚塑）</t>
  </si>
  <si>
    <t>YL-06601</t>
  </si>
  <si>
    <t>90*34*44cm</t>
  </si>
  <si>
    <t>榴莲球1</t>
  </si>
  <si>
    <t>YL-07602</t>
  </si>
  <si>
    <t>10cm</t>
  </si>
  <si>
    <t>平衡垫</t>
  </si>
  <si>
    <t>YL-07603</t>
  </si>
  <si>
    <t>30cm</t>
  </si>
  <si>
    <t>奥运如意跨栏
（吹塑）</t>
  </si>
  <si>
    <t>YL-08305</t>
  </si>
  <si>
    <t>80*28*24cm</t>
  </si>
  <si>
    <t>滚塑钻山洞</t>
  </si>
  <si>
    <t>YL-08403</t>
  </si>
  <si>
    <t>77*19*71cm 8个/套</t>
  </si>
  <si>
    <t>百变磁力棒1</t>
  </si>
  <si>
    <t>YL-14202
200件</t>
  </si>
  <si>
    <t>塑料加磁铁</t>
  </si>
  <si>
    <t>大大号X5.3cm</t>
  </si>
  <si>
    <t>充气大鱼池</t>
  </si>
  <si>
    <t>千度</t>
  </si>
  <si>
    <t>长3m，宽1m或1.5m</t>
  </si>
  <si>
    <t>充气</t>
  </si>
  <si>
    <t>3m*1.5m</t>
  </si>
  <si>
    <t>海洋球</t>
  </si>
  <si>
    <t>babygo</t>
  </si>
  <si>
    <t>马卡龙色200个
7cm加厚加大</t>
  </si>
  <si>
    <t>PE</t>
  </si>
  <si>
    <t>7cm加厚200个</t>
  </si>
  <si>
    <t>水枪玩具</t>
  </si>
  <si>
    <t>16.9*22.4cm</t>
  </si>
  <si>
    <t>babycare</t>
  </si>
  <si>
    <t>110*57mm</t>
  </si>
  <si>
    <t>科巢</t>
  </si>
  <si>
    <t>63*15cm</t>
  </si>
  <si>
    <t>维百</t>
  </si>
  <si>
    <t>60*15cm</t>
  </si>
  <si>
    <t>儿童运动球拍</t>
  </si>
  <si>
    <t>儿童入门球拍</t>
  </si>
  <si>
    <t>塑料+弹力网</t>
  </si>
  <si>
    <t>36*24cm</t>
  </si>
  <si>
    <t>静音云朵球</t>
  </si>
  <si>
    <t>直径18cm
直径20cm</t>
  </si>
  <si>
    <t>PVC</t>
  </si>
  <si>
    <t>珠光皮球</t>
  </si>
  <si>
    <t>蓝动力</t>
  </si>
  <si>
    <t>21cm</t>
  </si>
  <si>
    <t>彩云球</t>
  </si>
  <si>
    <t>古麦仕</t>
  </si>
  <si>
    <t>9寸（21cm）</t>
  </si>
  <si>
    <t>沙包</t>
  </si>
  <si>
    <t>倍贝乐</t>
  </si>
  <si>
    <t>7*7cm</t>
  </si>
  <si>
    <t>棉布</t>
  </si>
  <si>
    <t>7cm</t>
  </si>
  <si>
    <t>骰子沙包</t>
  </si>
  <si>
    <t>振轩</t>
  </si>
  <si>
    <t>5*5cm</t>
  </si>
  <si>
    <t>5cm</t>
  </si>
  <si>
    <t>PU皮质沙包</t>
  </si>
  <si>
    <t>naili</t>
  </si>
  <si>
    <t>直径6.6cm</t>
  </si>
  <si>
    <t>约6.6cm</t>
  </si>
  <si>
    <t>流星球</t>
  </si>
  <si>
    <t>心育</t>
  </si>
  <si>
    <t>60cm</t>
  </si>
  <si>
    <t>防雨布</t>
  </si>
  <si>
    <t>长60cm</t>
  </si>
  <si>
    <t>软质橡胶积木</t>
  </si>
  <si>
    <t>56块</t>
  </si>
  <si>
    <t>橡胶</t>
  </si>
  <si>
    <t>56件/套</t>
  </si>
  <si>
    <t>马卡龙跨栏</t>
  </si>
  <si>
    <t>YL-08306</t>
  </si>
  <si>
    <t>81*23*21cm 8个/组</t>
  </si>
  <si>
    <t>皮球车架</t>
  </si>
  <si>
    <t>YL-11706</t>
  </si>
  <si>
    <t>95*65*95cm</t>
  </si>
  <si>
    <t>海洋球2</t>
  </si>
  <si>
    <t>赛尔诺</t>
  </si>
  <si>
    <t>赛尔诺200个装
送收纳网兜</t>
  </si>
  <si>
    <t>6.5cm 200个/套</t>
  </si>
  <si>
    <t>跳格子组合</t>
  </si>
  <si>
    <t>波比超人</t>
  </si>
  <si>
    <t>马卡龙色
方形8个+三角形2个+10个卡扣</t>
  </si>
  <si>
    <t>手摇小电影</t>
  </si>
  <si>
    <t>QSH19006</t>
  </si>
  <si>
    <t>ABS 工程塑料</t>
  </si>
  <si>
    <t>16×11.5×25cm（产品尺寸）</t>
  </si>
  <si>
    <t>形状配对</t>
  </si>
  <si>
    <t>QHB158798</t>
  </si>
  <si>
    <t xml:space="preserve"> 木质 </t>
  </si>
  <si>
    <t xml:space="preserve"> 28个多米诺骨牌（9.8×4.8cm，厚6mm）</t>
  </si>
  <si>
    <t>颜色数量学习苹果树</t>
  </si>
  <si>
    <t>QME30511</t>
  </si>
  <si>
    <t>材质： 多层实木夹板，榉木</t>
  </si>
  <si>
    <t>规格： 280×102×270mm （产品尺寸）</t>
  </si>
  <si>
    <t>声音塔</t>
  </si>
  <si>
    <t>Q06515</t>
  </si>
  <si>
    <t>材质： 塑料</t>
  </si>
  <si>
    <t>规格： 31×33.5×13cm（包装尺寸）</t>
  </si>
  <si>
    <t>磁汇贯通--高级款 ZB-CH003</t>
  </si>
  <si>
    <t>QSH21040</t>
  </si>
  <si>
    <t>塑料、磁铁</t>
  </si>
  <si>
    <t>46.5*30.7*23.5cm（包装尺寸）</t>
  </si>
  <si>
    <t>教材电学组</t>
  </si>
  <si>
    <t>Q1184</t>
  </si>
  <si>
    <t>19.2*15*7.2cm（包装尺寸）</t>
  </si>
  <si>
    <t>多棱镜组合套装</t>
  </si>
  <si>
    <t>QLT-P070</t>
  </si>
  <si>
    <t>ABS PMMA</t>
  </si>
  <si>
    <r>
      <rPr>
        <sz val="10"/>
        <rFont val="宋体"/>
        <charset val="134"/>
      </rPr>
      <t>20</t>
    </r>
    <r>
      <rPr>
        <sz val="10"/>
        <rFont val="Arial"/>
        <charset val="134"/>
      </rPr>
      <t>×</t>
    </r>
    <r>
      <rPr>
        <sz val="10"/>
        <rFont val="宋体"/>
        <charset val="134"/>
      </rPr>
      <t>16.5</t>
    </r>
    <r>
      <rPr>
        <sz val="10"/>
        <rFont val="Arial"/>
        <charset val="134"/>
      </rPr>
      <t>×</t>
    </r>
    <r>
      <rPr>
        <sz val="10"/>
        <rFont val="宋体"/>
        <charset val="134"/>
      </rPr>
      <t>6cm</t>
    </r>
  </si>
  <si>
    <t>80片原木空心积木</t>
  </si>
  <si>
    <t>QXTG001-8</t>
  </si>
  <si>
    <t>最大尺寸 120×15×2cm
厚度 7.5/15cm</t>
  </si>
  <si>
    <t>榉木积木</t>
  </si>
  <si>
    <t>元优</t>
  </si>
  <si>
    <t>YY07101</t>
  </si>
  <si>
    <t>松木</t>
  </si>
  <si>
    <t>厚度3cm</t>
  </si>
  <si>
    <t>榫卯系列-指挥车</t>
  </si>
  <si>
    <t xml:space="preserve">规格：22×20×5cm （包装尺寸） </t>
  </si>
  <si>
    <t>藝磚逸瓦</t>
  </si>
  <si>
    <t>KC0006</t>
  </si>
  <si>
    <t>組件明细:長方形(大)8片、長方形(小)24片、正方形24片、三角形8片，共64片尺寸:長方形(大)-長24x宽12x厚0,4 am長方形(小)-長12x宽4x厚0,4 cm正方形-長12x宽12x厚0.4 cm三角形-長20x宽7x厚0,4 cm</t>
  </si>
  <si>
    <t>卡普乐积木</t>
  </si>
  <si>
    <t>YY 08303</t>
  </si>
  <si>
    <t>进口新西兰松木</t>
  </si>
  <si>
    <t>500片10.5*2.1*0.7cm</t>
  </si>
  <si>
    <t>磁性过山车</t>
  </si>
  <si>
    <t>YY 09702</t>
  </si>
  <si>
    <t>塑料 磁力</t>
  </si>
  <si>
    <t>65pcs  105pcs</t>
  </si>
  <si>
    <t>机械多米诺发射器套</t>
  </si>
  <si>
    <t xml:space="preserve"> YY 11304</t>
  </si>
  <si>
    <t>塑料 木制</t>
  </si>
  <si>
    <t>46*36*7cm</t>
  </si>
  <si>
    <t>迷你砖头60件</t>
  </si>
  <si>
    <t>51*37*23cm</t>
  </si>
  <si>
    <t>三维立体齿轮组合</t>
  </si>
  <si>
    <t>Q2389</t>
  </si>
  <si>
    <t>40*34*9cm</t>
  </si>
  <si>
    <t>透明的汽车</t>
  </si>
  <si>
    <t>Q8515</t>
  </si>
  <si>
    <t>机器人工厂大冒险</t>
  </si>
  <si>
    <t>Q7449</t>
  </si>
  <si>
    <t>25.5*28*6.5cm</t>
  </si>
  <si>
    <t>机器人罗比</t>
  </si>
  <si>
    <t>YY14302</t>
  </si>
  <si>
    <t>ABS、POM、PC</t>
  </si>
  <si>
    <t>37*23*16cm</t>
  </si>
  <si>
    <t>牙医套装</t>
  </si>
  <si>
    <t>QVG44202</t>
  </si>
  <si>
    <t>材质： 椴木夹板 、荷木 、MDF、实木</t>
  </si>
  <si>
    <t>规格： 22×8.5×16cm（包装尺寸）牙齿模型 :11×2.4×6cm</t>
  </si>
  <si>
    <t>儿童一体式呼啦圈</t>
  </si>
  <si>
    <t>拼色 40cm</t>
  </si>
  <si>
    <t>PE管、高弹泡棉</t>
  </si>
  <si>
    <t>拱门</t>
  </si>
  <si>
    <t>绿地游乐</t>
  </si>
  <si>
    <t>一套8个</t>
  </si>
  <si>
    <t>滚塑</t>
  </si>
  <si>
    <t>高72cm、长58cm、脚宽23cm</t>
  </si>
  <si>
    <t>棉款娃娃</t>
  </si>
  <si>
    <t>大奇医疗</t>
  </si>
  <si>
    <t>50cm长</t>
  </si>
  <si>
    <t>棉款</t>
  </si>
  <si>
    <t>50cm</t>
  </si>
  <si>
    <t xml:space="preserve"> 儿童专用沙发</t>
  </si>
  <si>
    <t>QSH24007</t>
  </si>
  <si>
    <t>科技布、EPP</t>
  </si>
  <si>
    <t>55*50*48cm</t>
  </si>
  <si>
    <t>起重机建筑套装</t>
  </si>
  <si>
    <t>QK3264</t>
  </si>
  <si>
    <t>无</t>
  </si>
  <si>
    <t>大小及长短学习套筒</t>
  </si>
  <si>
    <t>QMK30153</t>
  </si>
  <si>
    <t>按压趣味小螃蟹</t>
  </si>
  <si>
    <t>玩趣之家</t>
  </si>
  <si>
    <t>红色按压螃蟹</t>
  </si>
  <si>
    <t>12*8cm</t>
  </si>
  <si>
    <t>变形挖掘机</t>
  </si>
  <si>
    <t>妈宝孖宝</t>
  </si>
  <si>
    <t>翻斗靶子</t>
  </si>
  <si>
    <t>97*63*71mm</t>
  </si>
  <si>
    <t>百变扭扭蛇</t>
  </si>
  <si>
    <t>汇迪熊</t>
  </si>
  <si>
    <t>妞妞毛毛虫</t>
  </si>
  <si>
    <t>20*3.2cm</t>
  </si>
  <si>
    <t>旋转拼图</t>
  </si>
  <si>
    <t>叭叭发母婴</t>
  </si>
  <si>
    <t>鳄鱼、鲸鱼、毛毛虫、狗、长颈鹿</t>
  </si>
  <si>
    <t>17*4.3*4.3cm</t>
  </si>
  <si>
    <t>拼图9</t>
  </si>
  <si>
    <t>伟利达</t>
  </si>
  <si>
    <t>小猪、小狗、小熊、小象、小兔子</t>
  </si>
  <si>
    <t>7*5cm</t>
  </si>
  <si>
    <t>解压豆</t>
  </si>
  <si>
    <t>喜迪奇</t>
  </si>
  <si>
    <t>小熊</t>
  </si>
  <si>
    <t>ABS材质</t>
  </si>
  <si>
    <t>12.8*5*13cm</t>
  </si>
  <si>
    <t>拼图10</t>
  </si>
  <si>
    <t>zcube</t>
  </si>
  <si>
    <t>三角形、正方形、长方形熊猫</t>
  </si>
  <si>
    <t>8*2.4*8CM；11*5.5*5.5CM</t>
  </si>
  <si>
    <t>青蛙投篮</t>
  </si>
  <si>
    <t>卓卡瑞迪</t>
  </si>
  <si>
    <t>红蜻蛙投篮器</t>
  </si>
  <si>
    <t xml:space="preserve">径口23cm,尺寸：106*90*90cm </t>
  </si>
  <si>
    <t>套圈</t>
  </si>
  <si>
    <t>贝利恩</t>
  </si>
  <si>
    <t>21圈</t>
  </si>
  <si>
    <t>14.5*33cm</t>
  </si>
  <si>
    <t>砖块大积木</t>
  </si>
  <si>
    <t>彩色童趣</t>
  </si>
  <si>
    <t>172件套</t>
  </si>
  <si>
    <t>环保pp材质</t>
  </si>
  <si>
    <t>聪明棒</t>
  </si>
  <si>
    <t>乐慧启</t>
  </si>
  <si>
    <t>创意聪明棒dd</t>
  </si>
  <si>
    <t>盒</t>
  </si>
  <si>
    <t>彩窗磁力片</t>
  </si>
  <si>
    <t>智邦</t>
  </si>
  <si>
    <t>266pcs</t>
  </si>
  <si>
    <t>7.5cm</t>
  </si>
  <si>
    <t>磁力棒1</t>
  </si>
  <si>
    <t>九月猪猪</t>
  </si>
  <si>
    <t>AAA</t>
  </si>
  <si>
    <t>环保ABS材质、磁铁</t>
  </si>
  <si>
    <t>5.2cm</t>
  </si>
  <si>
    <t>搭建益智积木</t>
  </si>
  <si>
    <t>guidecraft</t>
  </si>
  <si>
    <t>QG9503</t>
  </si>
  <si>
    <t>实木、ABS塑料</t>
  </si>
  <si>
    <t>25*0.5cm</t>
  </si>
  <si>
    <t>百变弯道</t>
  </si>
  <si>
    <t>百岁</t>
  </si>
  <si>
    <t>174203810624150</t>
  </si>
  <si>
    <t>2.8*3.8cm</t>
  </si>
  <si>
    <t>袋</t>
  </si>
  <si>
    <t>树叶雪花片</t>
  </si>
  <si>
    <t>青溪家园</t>
  </si>
  <si>
    <t>BBL1066</t>
  </si>
  <si>
    <t>4.4cm</t>
  </si>
  <si>
    <t>积木编程宝盒</t>
  </si>
  <si>
    <t>QSH21030</t>
  </si>
  <si>
    <t>39*27*7cm</t>
  </si>
  <si>
    <t>拼乐夹</t>
  </si>
  <si>
    <t>QHB158824</t>
  </si>
  <si>
    <t>塑料、纸质</t>
  </si>
  <si>
    <t>5*1cm</t>
  </si>
  <si>
    <t>科学物理实验进阶套玩具1</t>
  </si>
  <si>
    <t>hape</t>
  </si>
  <si>
    <t>E3032</t>
  </si>
  <si>
    <t>实木</t>
  </si>
  <si>
    <t>52*6*36cm</t>
  </si>
  <si>
    <t>磁力管道积木</t>
  </si>
  <si>
    <t>ZB-CH001</t>
  </si>
  <si>
    <t xml:space="preserve"> 6*6*6cm</t>
  </si>
  <si>
    <t>套（50配件）</t>
  </si>
  <si>
    <t>齿轮积木</t>
  </si>
  <si>
    <t>Learning Resources</t>
  </si>
  <si>
    <t>QL-078</t>
  </si>
  <si>
    <t>ABS塑料</t>
  </si>
  <si>
    <t>11.8cm</t>
  </si>
  <si>
    <t>阿基米德</t>
  </si>
  <si>
    <t>青兔白兔</t>
  </si>
  <si>
    <t>AJMD-01</t>
  </si>
  <si>
    <t>11.8*2.4*0.8cm</t>
  </si>
  <si>
    <t>玩具串珠</t>
  </si>
  <si>
    <t>WEPLAY</t>
  </si>
  <si>
    <t>KF0012</t>
  </si>
  <si>
    <t>4*4*4cm</t>
  </si>
  <si>
    <t>木质滚珠轨道</t>
  </si>
  <si>
    <t>佳蔓</t>
  </si>
  <si>
    <t>jm-220621</t>
  </si>
  <si>
    <t>18*3*3cm</t>
  </si>
  <si>
    <t>骨架关节积木</t>
  </si>
  <si>
    <t>帕龙</t>
  </si>
  <si>
    <t>2929-31</t>
  </si>
  <si>
    <t>8.5*3.5cm</t>
  </si>
  <si>
    <t>拼装齿轮积木</t>
  </si>
  <si>
    <t>攒鑫</t>
  </si>
  <si>
    <t>4cm</t>
  </si>
  <si>
    <t>鬃毛刺刺积木</t>
  </si>
  <si>
    <t>骏源幼教</t>
  </si>
  <si>
    <t>BA3203</t>
  </si>
  <si>
    <t>4.8cm</t>
  </si>
  <si>
    <t>火车轨道</t>
  </si>
  <si>
    <t>宜家</t>
  </si>
  <si>
    <t>303.200.57</t>
  </si>
  <si>
    <t>15*2cm</t>
  </si>
  <si>
    <t>滚珠轨道</t>
  </si>
  <si>
    <t>UNB</t>
  </si>
  <si>
    <t>gdfa</t>
  </si>
  <si>
    <t>33.8*45cm</t>
  </si>
  <si>
    <t>立体彩片积木</t>
  </si>
  <si>
    <t>星秀</t>
  </si>
  <si>
    <t>3.5cm</t>
  </si>
  <si>
    <t>磁力片1</t>
  </si>
  <si>
    <t>妙妙猴</t>
  </si>
  <si>
    <t>06</t>
  </si>
  <si>
    <t>ABS塑料、磁铁</t>
  </si>
  <si>
    <t>5.5cm</t>
  </si>
  <si>
    <t>感官视觉积木</t>
  </si>
  <si>
    <t>勒酷</t>
  </si>
  <si>
    <t>亚克力积木</t>
  </si>
  <si>
    <t>亚克力、实木</t>
  </si>
  <si>
    <t>14*7*3cm</t>
  </si>
  <si>
    <t>螺母组合</t>
  </si>
  <si>
    <t>薇薇木玩</t>
  </si>
  <si>
    <t>多功能螺母组合</t>
  </si>
  <si>
    <t>23*2.5*1.2cm</t>
  </si>
  <si>
    <t>电路板拼装</t>
  </si>
  <si>
    <t>电学小子</t>
  </si>
  <si>
    <t>28*19.5cm</t>
  </si>
  <si>
    <t>能量导电球</t>
  </si>
  <si>
    <t>QLTPE118</t>
  </si>
  <si>
    <t>ABS铜件、电子元件</t>
  </si>
  <si>
    <t>4.6cm</t>
  </si>
  <si>
    <t>数字停车场</t>
  </si>
  <si>
    <t>华森葳</t>
  </si>
  <si>
    <t>CH8-3SX2023</t>
  </si>
  <si>
    <t>纸质、木质</t>
  </si>
  <si>
    <t>41*30cm</t>
  </si>
  <si>
    <t>A4彩色软磁片</t>
  </si>
  <si>
    <t>OSD</t>
  </si>
  <si>
    <t>A408</t>
  </si>
  <si>
    <t>软质橡胶磁片</t>
  </si>
  <si>
    <t>套（7色）</t>
  </si>
  <si>
    <t>电学小子电子积木</t>
  </si>
  <si>
    <t>迪宝乐</t>
  </si>
  <si>
    <t>51*35.5*5cm</t>
  </si>
  <si>
    <t>2288拼搭一套</t>
  </si>
  <si>
    <t>雪花片</t>
  </si>
  <si>
    <t>彩尼熊</t>
  </si>
  <si>
    <t>001</t>
  </si>
  <si>
    <t>8cm</t>
  </si>
  <si>
    <t>套（8cm350克）</t>
  </si>
  <si>
    <t>电子积木星空版</t>
  </si>
  <si>
    <t>妙趣横生</t>
  </si>
  <si>
    <t>47.5*32.5*6cm</t>
  </si>
  <si>
    <t>齿轮积木266升级轨道</t>
  </si>
  <si>
    <t>可优萌</t>
  </si>
  <si>
    <t>TM02-W2023-0118</t>
  </si>
  <si>
    <t>PP材质</t>
  </si>
  <si>
    <t>6cm</t>
  </si>
  <si>
    <t>童才子弹头积木</t>
  </si>
  <si>
    <t>TONGCAI</t>
  </si>
  <si>
    <t>TC-24078</t>
  </si>
  <si>
    <t>塑料、胶质</t>
  </si>
  <si>
    <t>1.45cm</t>
  </si>
  <si>
    <t>饮食拼图</t>
  </si>
  <si>
    <t>明辉七色花</t>
  </si>
  <si>
    <t>金字塔健康日常饮食拼图</t>
  </si>
  <si>
    <t>36.4*34*1cm</t>
  </si>
  <si>
    <t>磁汇贯通</t>
  </si>
  <si>
    <t>QSH19011</t>
  </si>
  <si>
    <t>EVA、磁力块</t>
  </si>
  <si>
    <t>55*48*30cm</t>
  </si>
  <si>
    <t>钓鱼池套装1</t>
  </si>
  <si>
    <t>哆漫泳宝</t>
  </si>
  <si>
    <t>sh-J210</t>
  </si>
  <si>
    <t>2.95*1.75*0.25m</t>
  </si>
  <si>
    <t>3.05水池套配</t>
  </si>
  <si>
    <t>吹泡泡工具</t>
  </si>
  <si>
    <t>著墨</t>
  </si>
  <si>
    <t>27.5*18.5*2cm</t>
  </si>
  <si>
    <t>珠行万里球传递</t>
  </si>
  <si>
    <t>永亮2023</t>
  </si>
  <si>
    <t>YL-06505</t>
  </si>
  <si>
    <t>20*7cm</t>
  </si>
  <si>
    <t>拧螺丝工具箱</t>
  </si>
  <si>
    <t>YISBRO</t>
  </si>
  <si>
    <t>9909绿</t>
  </si>
  <si>
    <t>29*18*16.5cm</t>
  </si>
  <si>
    <t>拧螺丝工作台</t>
  </si>
  <si>
    <t>52*37*28cm</t>
  </si>
  <si>
    <t>钓鱼池套装</t>
  </si>
  <si>
    <t>180210262305</t>
  </si>
  <si>
    <t>100*80*25cm</t>
  </si>
  <si>
    <t>套（100*80*25cm）</t>
  </si>
  <si>
    <t>滑板车</t>
  </si>
  <si>
    <t>芒果园</t>
  </si>
  <si>
    <t>吹塑款中号滑版</t>
  </si>
  <si>
    <t>42*39CM</t>
  </si>
  <si>
    <t>大型塑料积木</t>
  </si>
  <si>
    <t>调皮匠</t>
  </si>
  <si>
    <t>方砖积木2孔</t>
  </si>
  <si>
    <t>万能积木180块  5米*3米</t>
  </si>
  <si>
    <t>软跳箱</t>
  </si>
  <si>
    <t>永嘉地垫工厂</t>
  </si>
  <si>
    <t>儿童升级加厚款35公斤</t>
  </si>
  <si>
    <t>PU革</t>
  </si>
  <si>
    <t>75x65x130cm</t>
  </si>
  <si>
    <t>速叠杯</t>
  </si>
  <si>
    <t>M方大师</t>
  </si>
  <si>
    <t>大号（红、绿、蓝、黄、紫、粉、橘）</t>
  </si>
  <si>
    <t>大号</t>
  </si>
  <si>
    <t>12个/套</t>
  </si>
  <si>
    <t>飞行棋</t>
  </si>
  <si>
    <t>么么集</t>
  </si>
  <si>
    <t>YW132</t>
  </si>
  <si>
    <t>棋子ABS+磁石 棋盘：ABS+马口铁</t>
  </si>
  <si>
    <t>286x297MM</t>
  </si>
  <si>
    <t>语言区材料小班投放阅读区角视听力幼儿园大班a4中班大闯关训练习</t>
  </si>
  <si>
    <t>优状元</t>
  </si>
  <si>
    <t>01866</t>
  </si>
  <si>
    <t>A4双面塑封卡纸</t>
  </si>
  <si>
    <t>大班听力大闯关+绘本听力</t>
  </si>
  <si>
    <t>数字翻牌游戏棋类大班益智区材料数学思维玩具积木儿童桌游3到6岁</t>
  </si>
  <si>
    <t>丹妮</t>
  </si>
  <si>
    <t>zx-440</t>
  </si>
  <si>
    <t>四色翻牌游戏+磁力数字华容道</t>
  </si>
  <si>
    <t>时间棋走进走近小学主题幼儿园大班数学区益智区认识时间幼小衔接</t>
  </si>
  <si>
    <t>熊孩子</t>
  </si>
  <si>
    <t>sx-sjq</t>
  </si>
  <si>
    <t>A4塑封纸</t>
  </si>
  <si>
    <t>时间棋</t>
  </si>
  <si>
    <t>数字积木麻将</t>
  </si>
  <si>
    <t>淘乐</t>
  </si>
  <si>
    <t>SSG-Z5641</t>
  </si>
  <si>
    <t>木制</t>
  </si>
  <si>
    <t>数字桌游</t>
  </si>
  <si>
    <t>亲握积木摇铃建构弧形套装70件</t>
  </si>
  <si>
    <t>QG8324</t>
  </si>
  <si>
    <t>ABS型料、软铁通继扶、TPR型料</t>
  </si>
  <si>
    <t>33.7×10.8×27.3cm(包装尺寸)</t>
  </si>
  <si>
    <t>彩虹积木-水晶珠</t>
  </si>
  <si>
    <t>QG3012</t>
  </si>
  <si>
    <t>实木、亚克力</t>
  </si>
  <si>
    <t>22×8×22cm(包装尺寸)</t>
  </si>
  <si>
    <t>百变磁力积木62块/套</t>
  </si>
  <si>
    <t>PVC   磁力块</t>
  </si>
  <si>
    <t>55x48x30cm(包装尺寸)</t>
  </si>
  <si>
    <t>酷萌宝贝小房车</t>
  </si>
  <si>
    <t>QGSW1018-01</t>
  </si>
  <si>
    <t>46×74.1×87.2cm(产品尺寸)</t>
  </si>
  <si>
    <t>辆</t>
  </si>
  <si>
    <t>班马积木踏步车</t>
  </si>
  <si>
    <t>QMK01054</t>
  </si>
  <si>
    <t>榉木、实木夹板</t>
  </si>
  <si>
    <t>44×23×42.5cm
(包装尺寸)</t>
  </si>
  <si>
    <t>体操垫收纳架</t>
  </si>
  <si>
    <t xml:space="preserve">
童创</t>
  </si>
  <si>
    <t>125*85*75cm、另需增加防水外罩</t>
  </si>
  <si>
    <t>塑胶</t>
  </si>
  <si>
    <t>125*85*75cm</t>
  </si>
  <si>
    <t>中号滑板车收纳架</t>
  </si>
  <si>
    <t>RYH/帅动</t>
  </si>
  <si>
    <t>中号、另需增加防水外罩</t>
  </si>
  <si>
    <t>40*42cm</t>
  </si>
  <si>
    <t>滑板车大号收纳架</t>
  </si>
  <si>
    <t>大号、另需增加防水外罩</t>
  </si>
  <si>
    <t>50*60cm</t>
  </si>
  <si>
    <t>足球围栏</t>
  </si>
  <si>
    <t>SO NICE/舒奈斯</t>
  </si>
  <si>
    <t>CD0101</t>
  </si>
  <si>
    <t>不锈钢</t>
  </si>
  <si>
    <t>黄色围网150*90cm</t>
  </si>
  <si>
    <t>足球球门</t>
  </si>
  <si>
    <t>150*100cm</t>
  </si>
  <si>
    <t>4号幼儿橘色篮球</t>
  </si>
  <si>
    <t>WITSEER</t>
  </si>
  <si>
    <t>WS013</t>
  </si>
  <si>
    <t>PU</t>
  </si>
  <si>
    <t>加厚软皮</t>
  </si>
  <si>
    <t>太阳系模型</t>
  </si>
  <si>
    <t xml:space="preserve">七色花 </t>
  </si>
  <si>
    <t>科学系列-QGE045</t>
  </si>
  <si>
    <t>塑料、金属</t>
  </si>
  <si>
    <t>48*30*18cm</t>
  </si>
  <si>
    <t>测量蛇</t>
  </si>
  <si>
    <t>Rolf</t>
  </si>
  <si>
    <t>益智系列-265p</t>
  </si>
  <si>
    <t>33.7*44*8cm包装尺寸</t>
  </si>
  <si>
    <t>一串一逻辑</t>
  </si>
  <si>
    <t>Quercetti</t>
  </si>
  <si>
    <t>益智系列-329p</t>
  </si>
  <si>
    <t>PP+ABS 环保塑料</t>
  </si>
  <si>
    <t>35mm*27.5cm*6cm包装盒</t>
  </si>
  <si>
    <t>双筒望远镜</t>
  </si>
  <si>
    <t>EDU-TOYS</t>
  </si>
  <si>
    <t>双桶望远镜</t>
  </si>
  <si>
    <t>42.5*35.5*7cm</t>
  </si>
  <si>
    <t>风速计</t>
  </si>
  <si>
    <t>巧贝瑞</t>
  </si>
  <si>
    <t>28cm*19cm</t>
  </si>
  <si>
    <t>智慧屋幼儿可编程积木玩具儿童磁铁电子逻辑套装兼容大颗粒齿轮组</t>
  </si>
  <si>
    <t>智慧屋</t>
  </si>
  <si>
    <t>40*40*20mm</t>
  </si>
  <si>
    <t>儿童放大镜</t>
  </si>
  <si>
    <t>望夏</t>
  </si>
  <si>
    <t>通用</t>
  </si>
  <si>
    <t>15.3*10.4*7.5cm</t>
  </si>
  <si>
    <t>3D 立体磁块组（48块）</t>
  </si>
  <si>
    <t>光华玩具</t>
  </si>
  <si>
    <t>3d立体磁块组</t>
  </si>
  <si>
    <t>约840mm</t>
  </si>
  <si>
    <t>昆虫观察盒</t>
  </si>
  <si>
    <t>科达鸭</t>
  </si>
  <si>
    <t>16.5*9*16cm</t>
  </si>
  <si>
    <t>方块电路积木超级套装</t>
  </si>
  <si>
    <t>优质塑胶和环保卡纸</t>
  </si>
  <si>
    <t>23.8*7.6*26.7cm</t>
  </si>
  <si>
    <t>儿童聪明棒益智积木</t>
  </si>
  <si>
    <t>富尔欣</t>
  </si>
  <si>
    <t>分7cm、3cm、4cm</t>
  </si>
  <si>
    <t>动物消消乐（120）</t>
  </si>
  <si>
    <t>智恩堡</t>
  </si>
  <si>
    <t>25*25cm</t>
  </si>
  <si>
    <t>儿童益智思维玩具</t>
  </si>
  <si>
    <t>邦宝</t>
  </si>
  <si>
    <t>益智思维训练玩具</t>
  </si>
  <si>
    <t>高光泽塑胶ABS等</t>
  </si>
  <si>
    <t>45*35*7cm</t>
  </si>
  <si>
    <t>光影教学盒</t>
  </si>
  <si>
    <t>贝乐多</t>
  </si>
  <si>
    <t>桦木夹板、亚克力、铝片</t>
  </si>
  <si>
    <t>560*285*295mm</t>
  </si>
  <si>
    <t>吸铁棒（75球棒连）</t>
  </si>
  <si>
    <t>智博乐</t>
  </si>
  <si>
    <t>磁力棒</t>
  </si>
  <si>
    <t>磁铁 塑料</t>
  </si>
  <si>
    <t>25*25cm*25cm</t>
  </si>
  <si>
    <t>六角拼插600颗</t>
  </si>
  <si>
    <t>梦启点</t>
  </si>
  <si>
    <t>556-72</t>
  </si>
  <si>
    <t>22*20cm</t>
  </si>
  <si>
    <t>管道拼插玩具308粒</t>
  </si>
  <si>
    <t>GDJM-01</t>
  </si>
  <si>
    <t>ABS树胶</t>
  </si>
  <si>
    <t>20*20*11cm</t>
  </si>
  <si>
    <t>中国地图嵌板</t>
  </si>
  <si>
    <t>XY-1001</t>
  </si>
  <si>
    <t>35*20cm</t>
  </si>
  <si>
    <t>益智积木建筑大师</t>
  </si>
  <si>
    <t>智库</t>
  </si>
  <si>
    <t>LSB1103010</t>
  </si>
  <si>
    <t>18*0.6cm管子</t>
  </si>
  <si>
    <t>立体棒</t>
  </si>
  <si>
    <t>克利王国</t>
  </si>
  <si>
    <t>KL601129</t>
  </si>
  <si>
    <t>10*0.6cm管子</t>
  </si>
  <si>
    <t>星涯优品</t>
  </si>
  <si>
    <t>20PC</t>
  </si>
  <si>
    <t>9*0.6cm棒子</t>
  </si>
  <si>
    <t>色片</t>
  </si>
  <si>
    <t>education</t>
  </si>
  <si>
    <t>OMPMpslk</t>
  </si>
  <si>
    <t>木质/塑料</t>
  </si>
  <si>
    <t>17.4*22.8cm</t>
  </si>
  <si>
    <t>克隆玩具</t>
  </si>
  <si>
    <t>瑞果果</t>
  </si>
  <si>
    <t>颗粒</t>
  </si>
  <si>
    <t>20*15*4.5cm</t>
  </si>
  <si>
    <t>龙卷风模拟器</t>
  </si>
  <si>
    <t>金贝星</t>
  </si>
  <si>
    <t>17*21.5*7cm</t>
  </si>
  <si>
    <t>编织蜘蛛网</t>
  </si>
  <si>
    <t>木质、硬纸板、绒布</t>
  </si>
  <si>
    <t>34.5*34.5*6.5cm</t>
  </si>
  <si>
    <t>百变3D积木创意盒</t>
  </si>
  <si>
    <t>贝多乐</t>
  </si>
  <si>
    <t>桦木夹板、PS板</t>
  </si>
  <si>
    <t>33*32.5*7cm</t>
  </si>
  <si>
    <t>重力轨道球拼装搭建</t>
  </si>
  <si>
    <t>德国GT睿思</t>
  </si>
  <si>
    <t>17*21.5 cm</t>
  </si>
  <si>
    <t>鲁班榫卯积木拼搭小小建筑师房子</t>
  </si>
  <si>
    <t>智酷堡</t>
  </si>
  <si>
    <t>330粒</t>
  </si>
  <si>
    <t>200*200*50mm</t>
  </si>
  <si>
    <t>木玩世家创意木制机关多米诺骨牌</t>
  </si>
  <si>
    <t>木玩世家</t>
  </si>
  <si>
    <t>84木片＋16机关</t>
  </si>
  <si>
    <t>榉木、沙比利、胡桃木</t>
  </si>
  <si>
    <t>37.5*5.5*24cm</t>
  </si>
  <si>
    <t>大号雪花片</t>
  </si>
  <si>
    <t>大号雪花片60片</t>
  </si>
  <si>
    <t>优质ABS</t>
  </si>
  <si>
    <t>直径26cm</t>
  </si>
  <si>
    <t>反重力轨道车</t>
  </si>
  <si>
    <t>玖栏</t>
  </si>
  <si>
    <t>138拼块</t>
  </si>
  <si>
    <t>46/92/138/184pc</t>
  </si>
  <si>
    <t>手摇织毛衣器</t>
  </si>
  <si>
    <t>快乐年华</t>
  </si>
  <si>
    <t>22针 40针 48针</t>
  </si>
  <si>
    <t>彩虹木</t>
  </si>
  <si>
    <t>Grimms</t>
  </si>
  <si>
    <t>彩虹积木5768</t>
  </si>
  <si>
    <t>蛙鸣筒（木质音色）</t>
  </si>
  <si>
    <t>聪乐比</t>
  </si>
  <si>
    <t>CLB-9056</t>
  </si>
  <si>
    <t>约20cm</t>
  </si>
  <si>
    <t>串铃</t>
  </si>
  <si>
    <t>网童奇贝</t>
  </si>
  <si>
    <t>A555</t>
  </si>
  <si>
    <t>25*5cm</t>
  </si>
  <si>
    <t>碰钟（金属乐器）</t>
  </si>
  <si>
    <t>欧麦尔</t>
  </si>
  <si>
    <t>M-001</t>
  </si>
  <si>
    <t>14cm</t>
  </si>
  <si>
    <t>双响筒（木质音色）</t>
  </si>
  <si>
    <t>奥尔夫乐器</t>
  </si>
  <si>
    <t>榉木双响筒</t>
  </si>
  <si>
    <t>18cm口径3cm</t>
  </si>
  <si>
    <t>打棒（木质音色）</t>
  </si>
  <si>
    <t>打棒</t>
  </si>
  <si>
    <t>20*2cm</t>
  </si>
  <si>
    <t>对</t>
  </si>
  <si>
    <t>大号沙锤随机</t>
  </si>
  <si>
    <t>沙锤</t>
  </si>
  <si>
    <t>6*20cm</t>
  </si>
  <si>
    <t>9寸鼓+鼓棒+背带+快板+沙锤+大镲+大罗</t>
  </si>
  <si>
    <t>小鼓</t>
  </si>
  <si>
    <t>牛皮/羊皮</t>
  </si>
  <si>
    <t>9寸</t>
  </si>
  <si>
    <t>空灵鼓</t>
  </si>
  <si>
    <t>阿萨斯</t>
  </si>
  <si>
    <t>12寸13音</t>
  </si>
  <si>
    <t>碳钢合金</t>
  </si>
  <si>
    <t>12寸</t>
  </si>
  <si>
    <t>奥尔夫音乐风铃</t>
  </si>
  <si>
    <t>风铃</t>
  </si>
  <si>
    <t>39*26.5*6cm</t>
  </si>
  <si>
    <t>中国象棋（磁力）</t>
  </si>
  <si>
    <t>阮赋</t>
  </si>
  <si>
    <t>c4yt67y</t>
  </si>
  <si>
    <t>磁石</t>
  </si>
  <si>
    <t>28*25cm</t>
  </si>
  <si>
    <t>中级地球迷宫100关</t>
  </si>
  <si>
    <t>乐尔思</t>
  </si>
  <si>
    <t>高级海王星迷宫110关</t>
  </si>
  <si>
    <t>魔尺</t>
  </si>
  <si>
    <t>百变魔尺</t>
  </si>
  <si>
    <t>DS-267</t>
  </si>
  <si>
    <t>414.5cm长度</t>
  </si>
  <si>
    <t>彩虹圈</t>
  </si>
  <si>
    <t>魔力彩虹圈</t>
  </si>
  <si>
    <t>大号8.5*9cm</t>
  </si>
  <si>
    <t>泡沫飞机混合色</t>
  </si>
  <si>
    <t>Besee</t>
  </si>
  <si>
    <t>两种飞行模式</t>
  </si>
  <si>
    <t>环保EPP</t>
  </si>
  <si>
    <t>48cm</t>
  </si>
  <si>
    <t>万象平衡条</t>
  </si>
  <si>
    <t>10120093319696</t>
  </si>
  <si>
    <t>80cm</t>
  </si>
  <si>
    <t>轮胎架（银色，8格）</t>
  </si>
  <si>
    <t>扬笙福</t>
  </si>
  <si>
    <t>10107562888348</t>
  </si>
  <si>
    <t>8格23.5cm</t>
  </si>
  <si>
    <t>篮球架1</t>
  </si>
  <si>
    <t>oko</t>
  </si>
  <si>
    <t>QJ001</t>
  </si>
  <si>
    <t>110*38*159cm</t>
  </si>
  <si>
    <t>运动划船组合
（小车划船8件套）</t>
  </si>
  <si>
    <t>塑料、木质</t>
  </si>
  <si>
    <t>210*60*30cm</t>
  </si>
  <si>
    <t>可移动黑板，双面白绿板</t>
  </si>
  <si>
    <t>智宝臻品</t>
  </si>
  <si>
    <r>
      <rPr>
        <u/>
        <sz val="10"/>
        <rFont val="宋体"/>
        <charset val="134"/>
      </rPr>
      <t>H</t>
    </r>
    <r>
      <rPr>
        <sz val="10"/>
        <rFont val="宋体"/>
        <charset val="134"/>
      </rPr>
      <t>型</t>
    </r>
  </si>
  <si>
    <t>木质+不锈钢</t>
  </si>
  <si>
    <t>90*120cm</t>
  </si>
  <si>
    <t>星玛童1</t>
  </si>
  <si>
    <t>MT-6199</t>
  </si>
  <si>
    <t>118×58×63</t>
  </si>
  <si>
    <t>高碳钢车架橡胶轮</t>
  </si>
  <si>
    <t>星玛童2</t>
  </si>
  <si>
    <t>MT-6192</t>
  </si>
  <si>
    <t>水池布</t>
  </si>
  <si>
    <t>源兴</t>
  </si>
  <si>
    <t>10m*20m（防水布）</t>
  </si>
  <si>
    <t>防水布</t>
  </si>
  <si>
    <t>10m*20m</t>
  </si>
  <si>
    <t>特大球</t>
  </si>
  <si>
    <t>盖亚体育</t>
  </si>
  <si>
    <t>100cm（含充气打气筒）</t>
  </si>
  <si>
    <t>直径100cm含打气筒</t>
  </si>
  <si>
    <t>警察服装</t>
  </si>
  <si>
    <t>嘟乐曼尼</t>
  </si>
  <si>
    <t>男黑帽+马甲+手套+勺子</t>
  </si>
  <si>
    <t>聚酯纤维100%</t>
  </si>
  <si>
    <t>110厘米</t>
  </si>
  <si>
    <t>双管雪花片架子</t>
  </si>
  <si>
    <t>中凯</t>
  </si>
  <si>
    <t>双管带轮子</t>
  </si>
  <si>
    <t>80*40*100cm</t>
  </si>
  <si>
    <t>磁力文字</t>
  </si>
  <si>
    <t>左下</t>
  </si>
  <si>
    <t>018</t>
  </si>
  <si>
    <t>磁吸塑料</t>
  </si>
  <si>
    <t>31*3.5＊23.7cm</t>
  </si>
  <si>
    <t>马卡龙钻洞</t>
  </si>
  <si>
    <t>66*23*61cm</t>
  </si>
  <si>
    <t>玩具锥形桶</t>
  </si>
  <si>
    <t>DIY</t>
  </si>
  <si>
    <t>蓝色</t>
  </si>
  <si>
    <t>玩具锥形桶固定连接杆</t>
  </si>
  <si>
    <t>蓝白色2米</t>
  </si>
  <si>
    <t>科学实验套装</t>
  </si>
  <si>
    <t>酷多星</t>
  </si>
  <si>
    <t>酷多星(大中小班上下册)</t>
  </si>
  <si>
    <t>45*30*10cm</t>
  </si>
  <si>
    <t>凹、凸透镜</t>
  </si>
  <si>
    <t>other/其他</t>
  </si>
  <si>
    <t>塑料、玻璃镜面</t>
  </si>
  <si>
    <t>15*23*5.7cm</t>
  </si>
  <si>
    <t>发电宝贝</t>
  </si>
  <si>
    <t>QSH21028/QSH21029</t>
  </si>
  <si>
    <t>ABS/工程塑料/电机等</t>
  </si>
  <si>
    <t>22*21*20cm</t>
  </si>
  <si>
    <t>彩色儿童放大镜</t>
  </si>
  <si>
    <t>梦想秀</t>
  </si>
  <si>
    <t>大号放大镜</t>
  </si>
  <si>
    <t>亚克力</t>
  </si>
  <si>
    <t>多层忙碌块</t>
  </si>
  <si>
    <t>New wood city/新木城</t>
  </si>
  <si>
    <t>MA-082</t>
  </si>
  <si>
    <t>木</t>
  </si>
  <si>
    <t>12.5*13cm</t>
  </si>
  <si>
    <t>木质机械转动齿轮</t>
  </si>
  <si>
    <t>木奇乐</t>
  </si>
  <si>
    <t>立体拼图</t>
  </si>
  <si>
    <t>28.5*28.5*3.4cm</t>
  </si>
  <si>
    <t>超大雪花片</t>
  </si>
  <si>
    <t>TC-0163</t>
  </si>
  <si>
    <t>塑料/胶制</t>
  </si>
  <si>
    <t>26cm</t>
  </si>
  <si>
    <t>84件套工具箱</t>
  </si>
  <si>
    <t>塑胶玩具</t>
  </si>
  <si>
    <t>22*11*15cm</t>
  </si>
  <si>
    <t>套（84件）</t>
  </si>
  <si>
    <t>吹球迷宫</t>
  </si>
  <si>
    <t>haba</t>
  </si>
  <si>
    <t>qhb185357</t>
  </si>
  <si>
    <t>木质、塑料、铁</t>
  </si>
  <si>
    <t>34.5*9*34.5cm</t>
  </si>
  <si>
    <t>计算苹果树</t>
  </si>
  <si>
    <t>EDUCO</t>
  </si>
  <si>
    <t>木质玩具</t>
  </si>
  <si>
    <t>皮影戏专用幕布支架灯光</t>
  </si>
  <si>
    <t>晨曦</t>
  </si>
  <si>
    <t>010</t>
  </si>
  <si>
    <t>PVC复合材料</t>
  </si>
  <si>
    <t>142*80CM</t>
  </si>
  <si>
    <t>光影小剧场1</t>
  </si>
  <si>
    <t>ys-0415（老鼠嫁女）
5685</t>
  </si>
  <si>
    <t>纸</t>
  </si>
  <si>
    <t>老鼠嫁女</t>
  </si>
  <si>
    <t>光影小剧场2</t>
  </si>
  <si>
    <t>ys-0416（小马过河）
5685</t>
  </si>
  <si>
    <t>小马过河</t>
  </si>
  <si>
    <t>光影小剧场3</t>
  </si>
  <si>
    <t>ys-0417（三打白骨精）
5685</t>
  </si>
  <si>
    <t>三打白骨精</t>
  </si>
  <si>
    <t>木制舞台场景</t>
  </si>
  <si>
    <t>寻梦虎</t>
  </si>
  <si>
    <t>127*67</t>
  </si>
  <si>
    <t>诗词故事机</t>
  </si>
  <si>
    <t>凯叔讲故事</t>
  </si>
  <si>
    <t>KSJGSSCLL</t>
  </si>
  <si>
    <t>李白国学机</t>
  </si>
  <si>
    <t>卢卡Luka绘本阅读机器人</t>
  </si>
  <si>
    <t>luka</t>
  </si>
  <si>
    <t>LUKA卢卡绘本机器人</t>
  </si>
  <si>
    <t>单机基础款</t>
  </si>
  <si>
    <t>动物花纹皮毛皮肤配对48块</t>
  </si>
  <si>
    <t>儿童全脑潜能开发中心</t>
  </si>
  <si>
    <t>6cm*6cm</t>
  </si>
  <si>
    <t>空间思维配对 训练</t>
  </si>
  <si>
    <t>恒迪早教玩具店</t>
  </si>
  <si>
    <t>HD03</t>
  </si>
  <si>
    <t>21.5x16x3</t>
  </si>
  <si>
    <t>百数板</t>
  </si>
  <si>
    <t>其它</t>
  </si>
  <si>
    <t>30*30*4cm</t>
  </si>
  <si>
    <t>1-10数字板</t>
  </si>
  <si>
    <t xml:space="preserve">
Akai</t>
  </si>
  <si>
    <t>数字积木</t>
  </si>
  <si>
    <t>10颗数字积木配对拼板</t>
  </si>
  <si>
    <t>恐龙找规律排序</t>
  </si>
  <si>
    <t>wother/其他</t>
  </si>
  <si>
    <t>xm</t>
  </si>
  <si>
    <t>27*13*4.5cm</t>
  </si>
  <si>
    <t>数字巴士</t>
  </si>
  <si>
    <t>咔噜噜</t>
  </si>
  <si>
    <t>17*12.5*3cm</t>
  </si>
  <si>
    <t>排序磁性小鱼找方向(30块颜色板+20条鱼</t>
  </si>
  <si>
    <t>24.5*24.5*4.5cm</t>
  </si>
  <si>
    <t>数字天平</t>
  </si>
  <si>
    <t>Y·S·R/奕思瑞</t>
  </si>
  <si>
    <t>YSR-0078</t>
  </si>
  <si>
    <t xml:space="preserve">17*34cm </t>
  </si>
  <si>
    <t>解绳大挑战彩盒装</t>
  </si>
  <si>
    <t>xy-25114</t>
  </si>
  <si>
    <t>23*23*2.5cm</t>
  </si>
  <si>
    <t>平衡太空人
新款太空人50个</t>
  </si>
  <si>
    <t>童漫奇</t>
  </si>
  <si>
    <t>16.7*11.4cm</t>
  </si>
  <si>
    <t>镜像对称</t>
  </si>
  <si>
    <t>other</t>
  </si>
  <si>
    <t>镜像成像立体构建积木</t>
  </si>
  <si>
    <t>木质、纸质</t>
  </si>
  <si>
    <t>19*17.5*7.5cm</t>
  </si>
  <si>
    <t>镜像对称镜面构建积木</t>
  </si>
  <si>
    <t>0055</t>
  </si>
  <si>
    <t>14.7*14.7*13.5CM</t>
  </si>
  <si>
    <t>镜像投影</t>
  </si>
  <si>
    <t>六酷</t>
  </si>
  <si>
    <t>3D构建积木</t>
  </si>
  <si>
    <t>木质+纸质</t>
  </si>
  <si>
    <t>17*15*6.5cm</t>
  </si>
  <si>
    <t>堆叠动物园</t>
  </si>
  <si>
    <t>动物叠叠乐</t>
  </si>
  <si>
    <t>动物7.5*8cm</t>
  </si>
  <si>
    <t>配对磁力环双人款磁力环</t>
  </si>
  <si>
    <t>优艺兔</t>
  </si>
  <si>
    <t>23.5*15.5*6.5cm</t>
  </si>
  <si>
    <t>长颈鹿采光片</t>
  </si>
  <si>
    <t>SUPERDOTS</t>
  </si>
  <si>
    <t>CST-230519-1-1</t>
  </si>
  <si>
    <t>22.8*17.4*14.8cm</t>
  </si>
  <si>
    <t>万花筒1</t>
  </si>
  <si>
    <t>gumahus/古麦仕</t>
  </si>
  <si>
    <t>6fY4hs</t>
  </si>
  <si>
    <t>万花筒2</t>
  </si>
  <si>
    <t>万花筒3</t>
  </si>
  <si>
    <t xml:space="preserve">22cm </t>
  </si>
  <si>
    <t>万花筒4</t>
  </si>
  <si>
    <t>OTHER</t>
  </si>
  <si>
    <t>望远镜式</t>
  </si>
  <si>
    <t>拆装万花筒</t>
  </si>
  <si>
    <t>怡高</t>
  </si>
  <si>
    <t>YG1116</t>
  </si>
  <si>
    <t>31.1*5.1*25.4CM</t>
  </si>
  <si>
    <t>惯性与重力</t>
  </si>
  <si>
    <t>童趣时代</t>
  </si>
  <si>
    <t>30.5*23.5cm</t>
  </si>
  <si>
    <t>玩具手电筒</t>
  </si>
  <si>
    <t>康铭</t>
  </si>
  <si>
    <t>KM-8951</t>
  </si>
  <si>
    <t>11.5cm</t>
  </si>
  <si>
    <t>儿童单孔显微镜</t>
  </si>
  <si>
    <t>Educational Insights</t>
  </si>
  <si>
    <t>El5112</t>
  </si>
  <si>
    <t>19*14.5*21CM</t>
  </si>
  <si>
    <t>电路实验</t>
  </si>
  <si>
    <t>胖小虎</t>
  </si>
  <si>
    <t>KX12574</t>
  </si>
  <si>
    <t>基础版</t>
  </si>
  <si>
    <t>电路积木</t>
  </si>
  <si>
    <t>梦多福</t>
  </si>
  <si>
    <t>TM142024314-0015</t>
  </si>
  <si>
    <t>升级版趣味电路积木</t>
  </si>
  <si>
    <t>磁铁指南针</t>
  </si>
  <si>
    <t>喆厢</t>
  </si>
  <si>
    <t>00064</t>
  </si>
  <si>
    <t>磁铁</t>
  </si>
  <si>
    <t>趣味磁铁套装</t>
  </si>
  <si>
    <t>动物生命成长周期</t>
  </si>
  <si>
    <t>竞乔</t>
  </si>
  <si>
    <t>纸质</t>
  </si>
  <si>
    <t>瓦楞推演板1个+48片动植物圆片</t>
  </si>
  <si>
    <t>手动抽水机</t>
  </si>
  <si>
    <t>勾勾手</t>
  </si>
  <si>
    <t>金属、塑料</t>
  </si>
  <si>
    <t>23*18*14.5cm</t>
  </si>
  <si>
    <t>复读鸭</t>
  </si>
  <si>
    <t>喜尚乐</t>
  </si>
  <si>
    <t>鸭鸭</t>
  </si>
  <si>
    <t>PP棉</t>
  </si>
  <si>
    <t>32*19*20cm</t>
  </si>
  <si>
    <t>可编程机器人电动积木1</t>
  </si>
  <si>
    <t>丁丁益趣</t>
  </si>
  <si>
    <t>科教套装</t>
  </si>
  <si>
    <t>858颗粒（升级）含动力组</t>
  </si>
  <si>
    <t>钓鱼池套装
15平方四色水池高配套装</t>
  </si>
  <si>
    <t>塑料+塑胶</t>
  </si>
  <si>
    <t>15平米</t>
  </si>
  <si>
    <t>顶点珠造型棒（330P）</t>
  </si>
  <si>
    <t>QC30301-AC</t>
  </si>
  <si>
    <t>球1.5 棒13</t>
  </si>
  <si>
    <t>吸管建构积木</t>
  </si>
  <si>
    <t>集思</t>
  </si>
  <si>
    <t>193-19</t>
  </si>
  <si>
    <t>18*0.55cm</t>
  </si>
  <si>
    <t>夸得瑞拉超级变轨螺旋</t>
  </si>
  <si>
    <t>52pcs</t>
  </si>
  <si>
    <t>滚动轨道积木</t>
  </si>
  <si>
    <t>toyroyal/皇室玩具</t>
  </si>
  <si>
    <t>54pcs</t>
  </si>
  <si>
    <t>小小工程师
（高级版）</t>
  </si>
  <si>
    <t>Q6150</t>
  </si>
  <si>
    <t>建构系列-119PQ6150</t>
  </si>
  <si>
    <t>33*31*13cm</t>
  </si>
  <si>
    <t>迷你小厨房-顶级星厨
粉+蓝</t>
  </si>
  <si>
    <t>恩培</t>
  </si>
  <si>
    <t>AY0122</t>
  </si>
  <si>
    <t>48件</t>
  </si>
  <si>
    <t>玩具面条机</t>
  </si>
  <si>
    <t>QFX6350</t>
  </si>
  <si>
    <t>38*19.5*29cm</t>
  </si>
  <si>
    <t>精致下午茶茶具套</t>
  </si>
  <si>
    <t>QE3207</t>
  </si>
  <si>
    <t xml:space="preserve">30*24*8cm </t>
  </si>
  <si>
    <t>彩色厨具套装</t>
  </si>
  <si>
    <t>QSH22018</t>
  </si>
  <si>
    <t>26*26*8cm</t>
  </si>
  <si>
    <t>餐具清洁套装</t>
  </si>
  <si>
    <t>QFX3600</t>
  </si>
  <si>
    <t>PP+ABS</t>
  </si>
  <si>
    <t>40.4*27.5*10cm</t>
  </si>
  <si>
    <t>亮片爵士（女）100</t>
  </si>
  <si>
    <t>布</t>
  </si>
  <si>
    <t>尺码100</t>
  </si>
  <si>
    <t>亮片爵士（男）100</t>
  </si>
  <si>
    <t>表演服 男</t>
  </si>
  <si>
    <t>哆啦虎</t>
  </si>
  <si>
    <t>运动</t>
  </si>
  <si>
    <t>表演服 女</t>
  </si>
  <si>
    <t>浅蓝衬衣橙色背带
100</t>
  </si>
  <si>
    <t>汉游记</t>
  </si>
  <si>
    <t>复古风</t>
  </si>
  <si>
    <t>浅粉色衬衣黄色背带
100</t>
  </si>
  <si>
    <t>幼儿园表演区小舞台话筒儿童主持卡拉ok唱歌小班区域活动材料道具</t>
  </si>
  <si>
    <t>sdf321522</t>
  </si>
  <si>
    <t>82-107</t>
  </si>
  <si>
    <t>头饰（空头套）</t>
  </si>
  <si>
    <t>嘎猫</t>
  </si>
  <si>
    <t>无纺布</t>
  </si>
  <si>
    <t>19cm*2mm</t>
  </si>
  <si>
    <t>旋转机械手</t>
  </si>
  <si>
    <t>手指tly</t>
  </si>
  <si>
    <t>9*9cm</t>
  </si>
  <si>
    <t>百变宇航员</t>
  </si>
  <si>
    <t>指尖陀螺机器人玩具</t>
  </si>
  <si>
    <t>8*10.5CM</t>
  </si>
  <si>
    <t>无限2阶魔方
（马卡龙色）</t>
  </si>
  <si>
    <t>益界</t>
  </si>
  <si>
    <t>4*4cm</t>
  </si>
  <si>
    <t>百变扭扭乐</t>
  </si>
  <si>
    <t>凯普登</t>
  </si>
  <si>
    <t>20节</t>
  </si>
  <si>
    <t>伸缩玩具</t>
  </si>
  <si>
    <t>bt-3-17</t>
  </si>
  <si>
    <t>18.5*14*3.5cm</t>
  </si>
  <si>
    <t>扭扭虫</t>
  </si>
  <si>
    <t>启明星</t>
  </si>
  <si>
    <t>D105</t>
  </si>
  <si>
    <t>18*6cm</t>
  </si>
  <si>
    <t>按压骰子</t>
  </si>
  <si>
    <t>飞蓝谷</t>
  </si>
  <si>
    <t>3.3*3.3*3.3cm</t>
  </si>
  <si>
    <t>魔尺（24段）</t>
  </si>
  <si>
    <t>xinlexin</t>
  </si>
  <si>
    <t>（24段）43cm</t>
  </si>
  <si>
    <t>魔尺（36段）</t>
  </si>
  <si>
    <t>（36段）63.5cm</t>
  </si>
  <si>
    <t>平衡气垫球
（34cm)</t>
  </si>
  <si>
    <t>Barhee/哈宇百合</t>
  </si>
  <si>
    <t>PHD-1</t>
  </si>
  <si>
    <t>34cm</t>
  </si>
  <si>
    <t>半圆平衡球
（榴莲8色）</t>
  </si>
  <si>
    <t>PHD-2</t>
  </si>
  <si>
    <t>16cm</t>
  </si>
  <si>
    <t>平衡旋转盆80*30
红色</t>
  </si>
  <si>
    <t>ZK/中凯佳乐</t>
  </si>
  <si>
    <t>80*30cm</t>
  </si>
  <si>
    <t>平衡旋转盆
（飞碟款）红色</t>
  </si>
  <si>
    <t>希伯特</t>
  </si>
  <si>
    <t>72*30cm</t>
  </si>
  <si>
    <t>陀螺椅（红色）</t>
  </si>
  <si>
    <t>芒果象</t>
  </si>
  <si>
    <t>54*50+54.5*25.5cm</t>
  </si>
  <si>
    <t>U型槽</t>
  </si>
  <si>
    <t>频挥</t>
  </si>
  <si>
    <t>小号30cm（10片+5球+杯）</t>
  </si>
  <si>
    <t>中号40cm（10片+5球+杯）</t>
  </si>
  <si>
    <t>全能跳高架</t>
  </si>
  <si>
    <t>QSC60401</t>
  </si>
  <si>
    <r>
      <rPr>
        <sz val="10"/>
        <color theme="1"/>
        <rFont val="宋体"/>
        <charset val="134"/>
      </rPr>
      <t>标志桶（孔洞型）</t>
    </r>
    <r>
      <rPr>
        <sz val="10"/>
        <color theme="1"/>
        <rFont val="Arial"/>
        <charset val="134"/>
      </rPr>
      <t>×</t>
    </r>
    <r>
      <rPr>
        <sz val="10"/>
        <color theme="1"/>
        <rFont val="宋体"/>
        <charset val="134"/>
      </rPr>
      <t>8个、28</t>
    </r>
    <r>
      <rPr>
        <sz val="10"/>
        <color theme="1"/>
        <rFont val="Arial"/>
        <charset val="134"/>
      </rPr>
      <t>×</t>
    </r>
    <r>
      <rPr>
        <sz val="10"/>
        <color theme="1"/>
        <rFont val="宋体"/>
        <charset val="134"/>
      </rPr>
      <t>28</t>
    </r>
    <r>
      <rPr>
        <sz val="10"/>
        <color theme="1"/>
        <rFont val="Arial"/>
        <charset val="134"/>
      </rPr>
      <t>×</t>
    </r>
    <r>
      <rPr>
        <sz val="10"/>
        <color theme="1"/>
        <rFont val="宋体"/>
        <charset val="134"/>
      </rPr>
      <t>53cm,跳高刻度架</t>
    </r>
    <r>
      <rPr>
        <sz val="10"/>
        <color theme="1"/>
        <rFont val="Arial"/>
        <charset val="134"/>
      </rPr>
      <t>×</t>
    </r>
    <r>
      <rPr>
        <sz val="10"/>
        <color theme="1"/>
        <rFont val="宋体"/>
        <charset val="134"/>
      </rPr>
      <t>8支、51.5</t>
    </r>
    <r>
      <rPr>
        <sz val="10"/>
        <color theme="1"/>
        <rFont val="Arial"/>
        <charset val="134"/>
      </rPr>
      <t>×</t>
    </r>
    <r>
      <rPr>
        <sz val="10"/>
        <color theme="1"/>
        <rFont val="宋体"/>
        <charset val="134"/>
      </rPr>
      <t>11.4</t>
    </r>
    <r>
      <rPr>
        <sz val="10"/>
        <color theme="1"/>
        <rFont val="Arial"/>
        <charset val="134"/>
      </rPr>
      <t>×</t>
    </r>
    <r>
      <rPr>
        <sz val="10"/>
        <color theme="1"/>
        <rFont val="宋体"/>
        <charset val="134"/>
      </rPr>
      <t>5.4cm,长杆</t>
    </r>
    <r>
      <rPr>
        <sz val="10"/>
        <color theme="1"/>
        <rFont val="Arial"/>
        <charset val="134"/>
      </rPr>
      <t>×</t>
    </r>
    <r>
      <rPr>
        <sz val="10"/>
        <color theme="1"/>
        <rFont val="宋体"/>
        <charset val="134"/>
      </rPr>
      <t>4支、120cm管径2.5cm</t>
    </r>
  </si>
  <si>
    <t>碳化小推车（带斗）100*32*31</t>
  </si>
  <si>
    <t>100*32*31CM</t>
  </si>
  <si>
    <t>3农用碳化平板车
144*65*45cm</t>
  </si>
  <si>
    <t>144*65*45cm</t>
  </si>
  <si>
    <t>三维立体克隆手印模</t>
  </si>
  <si>
    <t>园翌</t>
  </si>
  <si>
    <t>14INYMQ1N5F3Y5HC049U</t>
  </si>
  <si>
    <t>大号：20x15x5.5CM</t>
  </si>
  <si>
    <t>触摸箱</t>
  </si>
  <si>
    <t>智力屋早教</t>
  </si>
  <si>
    <t>15x15x15cm</t>
  </si>
  <si>
    <t>趣味滑翔小车</t>
  </si>
  <si>
    <t>木丸子</t>
  </si>
  <si>
    <t>mwz-320</t>
  </si>
  <si>
    <t>22x9x43cm（七轨滑翔车➕两件套手抓板拼图）</t>
  </si>
  <si>
    <t>太空沙</t>
  </si>
  <si>
    <t>space sand</t>
  </si>
  <si>
    <t>MS-16</t>
  </si>
  <si>
    <t>MS-16海洋动物套装 3斤沙色➕36个模型➕无纺布沙盘</t>
  </si>
  <si>
    <t>光影区透光积木</t>
  </si>
  <si>
    <t>瑞吉欧</t>
  </si>
  <si>
    <t>大颗粒亚克力积木</t>
  </si>
  <si>
    <t>探索实验眼镜</t>
  </si>
  <si>
    <t>小泰克</t>
  </si>
  <si>
    <t>32x11x24CM</t>
  </si>
  <si>
    <t>科学小实验套装</t>
  </si>
  <si>
    <t>童无忧玩具店</t>
  </si>
  <si>
    <t>1KX0540</t>
  </si>
  <si>
    <t>（豪华版收纳装）386物理➕化学实验</t>
  </si>
  <si>
    <t>空气炮</t>
  </si>
  <si>
    <t>116（空气炮两个鼓膜）</t>
  </si>
  <si>
    <t>19.5x15.5CM</t>
  </si>
  <si>
    <t>磁性抓虫子钓鱼</t>
  </si>
  <si>
    <t>Goodcow/顶牛</t>
  </si>
  <si>
    <t>056</t>
  </si>
  <si>
    <t>木头</t>
  </si>
  <si>
    <t>朵趣3D钓鱼+抓虫玩具二合一</t>
  </si>
  <si>
    <t>火线冲击电磁电碰迷宫</t>
  </si>
  <si>
    <t>ZD-522</t>
  </si>
  <si>
    <t>电磁迷宫（蓝色）手柄震动</t>
  </si>
  <si>
    <t>颜色分类杯</t>
  </si>
  <si>
    <t>班博</t>
  </si>
  <si>
    <t>BD-0077</t>
  </si>
  <si>
    <t>升级款8色颜色分类钓鱼（40条鱼➕2鱼竿➕题卡）</t>
  </si>
  <si>
    <t>动物花纹皮毛皮肤配对</t>
  </si>
  <si>
    <t>（配对）动物皮纹配对48块</t>
  </si>
  <si>
    <t>太空轨道车闯关大冒险</t>
  </si>
  <si>
    <t>万威漫</t>
  </si>
  <si>
    <t>3388-60</t>
  </si>
  <si>
    <t>电玩具</t>
  </si>
  <si>
    <t>礼盒装-太空火箭-轨道车4车</t>
  </si>
  <si>
    <t>进阶故事拼图</t>
  </si>
  <si>
    <t>BANGSON</t>
  </si>
  <si>
    <t>BS-60</t>
  </si>
  <si>
    <t>（含16张拼图）故事拼图超值4件套2-4岁</t>
  </si>
  <si>
    <t>儿童益智空间积木</t>
  </si>
  <si>
    <t>小顽豆</t>
  </si>
  <si>
    <t>XWD-00917</t>
  </si>
  <si>
    <t>24.5×24.5×4.5CM</t>
  </si>
  <si>
    <t>夹珠子</t>
  </si>
  <si>
    <t>XWD-3505</t>
  </si>
  <si>
    <t>22×22×2CM</t>
  </si>
  <si>
    <t>几何形状认知拼图配对板</t>
  </si>
  <si>
    <t>MWZ-6826</t>
  </si>
  <si>
    <t>木质材料</t>
  </si>
  <si>
    <t>30×30×1.5CM</t>
  </si>
  <si>
    <t>四色走位双面棋</t>
  </si>
  <si>
    <t>丹妮奇特</t>
  </si>
  <si>
    <t>zx-97-2</t>
  </si>
  <si>
    <t>22×19×6CM</t>
  </si>
  <si>
    <t>儿童穿线板</t>
  </si>
  <si>
    <t>小花猪</t>
  </si>
  <si>
    <t>穿绳玩具彩盒装</t>
  </si>
  <si>
    <t>木质多层拼图好饿的毛毛虫</t>
  </si>
  <si>
    <t>智慧星早教</t>
  </si>
  <si>
    <t>毛毛虫多层拼图（四层）</t>
  </si>
  <si>
    <t>儿童水管道积木</t>
  </si>
  <si>
    <t>高丽宝贝</t>
  </si>
  <si>
    <t>滚球管道积木</t>
  </si>
  <si>
    <t>管道积木（36p）</t>
  </si>
  <si>
    <t>月像盒</t>
  </si>
  <si>
    <t>六鑫</t>
  </si>
  <si>
    <t>月相盒（黑色）</t>
  </si>
  <si>
    <t>太阳系行星模型科普投影仪</t>
  </si>
  <si>
    <t>Science can</t>
  </si>
  <si>
    <t>1602312023gv0001</t>
  </si>
  <si>
    <t>传话筒</t>
  </si>
  <si>
    <t>3HE</t>
  </si>
  <si>
    <t>LT-P037</t>
  </si>
  <si>
    <t>塑料、橡胶</t>
  </si>
  <si>
    <t>六人</t>
  </si>
  <si>
    <t>手摇发电机</t>
  </si>
  <si>
    <t>卓茁熊</t>
  </si>
  <si>
    <t>ZZX-DP-122</t>
  </si>
  <si>
    <t>三角声音记忆游戏</t>
  </si>
  <si>
    <t>TY</t>
  </si>
  <si>
    <t>光影魔术盒</t>
  </si>
  <si>
    <t>兔兔痴</t>
  </si>
  <si>
    <t>光影小剧场4</t>
  </si>
  <si>
    <t>不织布、卡纸</t>
  </si>
  <si>
    <t>K款套装</t>
  </si>
  <si>
    <t>光影小剧场5</t>
  </si>
  <si>
    <t>G款套装</t>
  </si>
  <si>
    <t>呼啦圈收纳架</t>
  </si>
  <si>
    <t>Youngtry/优动</t>
  </si>
  <si>
    <t>youngtry-271</t>
  </si>
  <si>
    <t>呼啦圈架带轮子【适合内圈45cm)</t>
  </si>
  <si>
    <t>磁铁吸铁环</t>
  </si>
  <si>
    <t>4人款磁力环</t>
  </si>
  <si>
    <t>平衡太空人</t>
  </si>
  <si>
    <t>新款太空人50个</t>
  </si>
  <si>
    <t>多米诺小火车</t>
  </si>
  <si>
    <t>益智宝</t>
  </si>
  <si>
    <t>2021152202035030</t>
  </si>
  <si>
    <t>升级版</t>
  </si>
  <si>
    <t>万花尺</t>
  </si>
  <si>
    <t>孩子乐</t>
  </si>
  <si>
    <t>穿越太阳系</t>
  </si>
  <si>
    <t>00071</t>
  </si>
  <si>
    <t>四合一多功能棋</t>
  </si>
  <si>
    <t>汉状元</t>
  </si>
  <si>
    <t>多功能飞行棋</t>
  </si>
  <si>
    <t>企鹅破冰</t>
  </si>
  <si>
    <t>BPQE</t>
  </si>
  <si>
    <t>22.5×20×6cm（升级大号）</t>
  </si>
  <si>
    <t>找不同专注力训练</t>
  </si>
  <si>
    <t>优优鼠</t>
  </si>
  <si>
    <t>专注力训练-找不同游戏卡</t>
  </si>
  <si>
    <t>找不同5-6岁（64页）</t>
  </si>
  <si>
    <t>台球</t>
  </si>
  <si>
    <t>jujk</t>
  </si>
  <si>
    <t>jujk-2500</t>
  </si>
  <si>
    <t>磁力迷宫走珠</t>
  </si>
  <si>
    <t>星星舟</t>
  </si>
  <si>
    <t>磁性走珠（3-6岁闯关磁力颜色分类走珠）</t>
  </si>
  <si>
    <t>30×30CM</t>
  </si>
  <si>
    <t>儿童对战翻翻棋</t>
  </si>
  <si>
    <t>淘气玩家</t>
  </si>
  <si>
    <t>D1110</t>
  </si>
  <si>
    <t>解绳大挑战</t>
  </si>
  <si>
    <t>彩盒装</t>
  </si>
  <si>
    <t>趣味空间立体四子棋</t>
  </si>
  <si>
    <t>zx-367</t>
  </si>
  <si>
    <t>大号立体四子棋</t>
  </si>
  <si>
    <t>空间弹珠</t>
  </si>
  <si>
    <t>小贝士</t>
  </si>
  <si>
    <t>216\1</t>
  </si>
  <si>
    <t>疯狂滚珠闯关大冒险豪华七大关卡</t>
  </si>
  <si>
    <t>发条时钟</t>
  </si>
  <si>
    <t>T&amp;C</t>
  </si>
  <si>
    <t>自装发条时钟</t>
  </si>
  <si>
    <t>环保塑料</t>
  </si>
  <si>
    <t>自装DIY拼装发条钟表模型</t>
  </si>
  <si>
    <t>口袋斗士积木竹节人</t>
  </si>
  <si>
    <t>口袋斗士</t>
  </si>
  <si>
    <t>冰川之战kdds005烈焰之战</t>
  </si>
  <si>
    <t>烈焰之战一套</t>
  </si>
  <si>
    <t>诸葛机关</t>
  </si>
  <si>
    <t>滚珠2进制轨道球</t>
  </si>
  <si>
    <t>逻辑轨道棋</t>
  </si>
  <si>
    <t>启乐源</t>
  </si>
  <si>
    <t>LS-174</t>
  </si>
  <si>
    <t>【2件套】大号+消消乐</t>
  </si>
  <si>
    <t>潜望镜制作材料包光学反射教具</t>
  </si>
  <si>
    <t>好佳儿</t>
  </si>
  <si>
    <t>001-BQ</t>
  </si>
  <si>
    <t>潜望镜3条装</t>
  </si>
  <si>
    <t>气象模拟站</t>
  </si>
  <si>
    <t>万火</t>
  </si>
  <si>
    <t>天气模拟气象台【C0811070】20240624</t>
  </si>
  <si>
    <t>天气模拟气象台</t>
  </si>
  <si>
    <t>室外玩具防雨棚</t>
  </si>
  <si>
    <t>靖融</t>
  </si>
  <si>
    <t>03</t>
  </si>
  <si>
    <t>钢架、无纺布</t>
  </si>
  <si>
    <t>绿色 长2.5M宽1.3M高1.13M</t>
  </si>
  <si>
    <t>六合一棋盘</t>
  </si>
  <si>
    <t>多功能棋</t>
  </si>
  <si>
    <t>六合一</t>
  </si>
  <si>
    <t>体操垫收纳架1</t>
  </si>
  <si>
    <t>多多树</t>
  </si>
  <si>
    <t>115*105*150</t>
  </si>
  <si>
    <t>体操垫架105*105*150cm带顶板篷布</t>
  </si>
  <si>
    <t>体操垫收纳架小</t>
  </si>
  <si>
    <t>85*85*150</t>
  </si>
  <si>
    <t>体操垫架85*85*150cm带顶板篷</t>
  </si>
  <si>
    <t>雪花片收纳架</t>
  </si>
  <si>
    <t>MYLER</t>
  </si>
  <si>
    <t>5管收纳架</t>
  </si>
  <si>
    <t>100×54×54CM</t>
  </si>
  <si>
    <t>大号型积木幼儿园雪花片益智室外玩具</t>
  </si>
  <si>
    <t>加迪诺</t>
  </si>
  <si>
    <t>JDN-023</t>
  </si>
  <si>
    <t>十色26里面大型雪花片</t>
  </si>
  <si>
    <t>显微镜</t>
  </si>
  <si>
    <t>【W】显示屏单筒显微镜【C0811018】+H3</t>
  </si>
  <si>
    <t>高配款32G带屛显微镜</t>
  </si>
  <si>
    <t>磁悬浮地球仪</t>
  </si>
  <si>
    <t>速豹</t>
  </si>
  <si>
    <t>磁悬浮地球仪【C0101119】231205+012</t>
  </si>
  <si>
    <t>磁悬浮地球仪-天猫精灵AR款（暖光）</t>
  </si>
  <si>
    <t>水流演示器</t>
  </si>
  <si>
    <t>套装</t>
  </si>
  <si>
    <t>瑞吉欧光影教具</t>
  </si>
  <si>
    <t>REGGIO TOYS</t>
  </si>
  <si>
    <t>中号8寸木色</t>
  </si>
  <si>
    <t>地心探索科普地球仪</t>
  </si>
  <si>
    <t>1602322023GV0001</t>
  </si>
  <si>
    <t>户外小车收纳架1</t>
  </si>
  <si>
    <t>Aileen</t>
  </si>
  <si>
    <t>管道车架460*85*95</t>
  </si>
  <si>
    <t>九格三轮车架白色</t>
  </si>
  <si>
    <t>户外小车收纳架2</t>
  </si>
  <si>
    <t>4格三轮车架白色</t>
  </si>
  <si>
    <t>平衡车架</t>
  </si>
  <si>
    <t>六格平衡车架白色</t>
  </si>
  <si>
    <t>儿童手摇车</t>
  </si>
  <si>
    <t xml:space="preserve">
ZK/中凯佳乐</t>
  </si>
  <si>
    <t>68*62*40</t>
  </si>
  <si>
    <t>68*62*40红色</t>
  </si>
  <si>
    <t>安吉游戏方箱1</t>
  </si>
  <si>
    <t>小虎娃</t>
  </si>
  <si>
    <t>40*40*40CM）</t>
  </si>
  <si>
    <t>安吉游戏方箱2</t>
  </si>
  <si>
    <t>60*60*60CM）</t>
  </si>
  <si>
    <t>四座旋转脚踏车</t>
  </si>
  <si>
    <t>育晨</t>
  </si>
  <si>
    <t>YC-550602</t>
  </si>
  <si>
    <t>升级加固款红色四人旋转脚踏车 加固加粗加厚140*63CM</t>
  </si>
  <si>
    <t>公主换装玩具</t>
  </si>
  <si>
    <t>安芭儿比</t>
  </si>
  <si>
    <t>软胶</t>
  </si>
  <si>
    <t>【70CM礼盒双娃】-7/13关节带书案</t>
  </si>
  <si>
    <t>娃娃家厨房套装</t>
  </si>
  <si>
    <t>拓彩</t>
  </si>
  <si>
    <t>厨具</t>
  </si>
  <si>
    <t>厨房切切乐</t>
  </si>
  <si>
    <t>感应互动软胶娃娃</t>
  </si>
  <si>
    <t>安娜公主</t>
  </si>
  <si>
    <t>20x10x42cm</t>
  </si>
  <si>
    <t>安全帽玩具</t>
  </si>
  <si>
    <t>QK8127</t>
  </si>
  <si>
    <t>28×11.2×30.25CM（包装尺寸）</t>
  </si>
  <si>
    <t>仿真建筑套装</t>
  </si>
  <si>
    <t>QK3224</t>
  </si>
  <si>
    <t>涤纶、塑料</t>
  </si>
  <si>
    <t>63×46×14cm(包装尺寸)</t>
  </si>
  <si>
    <t>磁力棒2</t>
  </si>
  <si>
    <t>专利六角互动桶</t>
  </si>
  <si>
    <t>塑料、磁力</t>
  </si>
  <si>
    <t>墙面小熊脸</t>
  </si>
  <si>
    <t>格林姆幼教玩具</t>
  </si>
  <si>
    <t>六件套</t>
  </si>
  <si>
    <t>爬行隧道</t>
  </si>
  <si>
    <t>海底隧道</t>
  </si>
  <si>
    <t>透气牛津纺布</t>
  </si>
  <si>
    <t>155x48x56cm</t>
  </si>
  <si>
    <t>坦克爬行圈</t>
  </si>
  <si>
    <t>温州淘淘子</t>
  </si>
  <si>
    <t>儿童黄色、绿色、红色</t>
  </si>
  <si>
    <t>高分子牛津布</t>
  </si>
  <si>
    <t>300x50x5cm</t>
  </si>
  <si>
    <t>感统训练万象组合</t>
  </si>
  <si>
    <t>小月亮</t>
  </si>
  <si>
    <t>万象组合114件</t>
  </si>
  <si>
    <t>多功能海绵折叠垫</t>
  </si>
  <si>
    <t>美帆幼教玩具</t>
  </si>
  <si>
    <t>E款三折pu三色</t>
  </si>
  <si>
    <t>环保海绵内芯，加厚环保pu皮</t>
  </si>
  <si>
    <t>120x180x5cm</t>
  </si>
  <si>
    <t>软体摇马</t>
  </si>
  <si>
    <t>跑车、香蕉、小青虫</t>
  </si>
  <si>
    <t>85x30x40cm</t>
  </si>
  <si>
    <t>跳箱</t>
  </si>
  <si>
    <t>德古拉</t>
  </si>
  <si>
    <t>25kg一套</t>
  </si>
  <si>
    <t>内部海绵，外包皮革</t>
  </si>
  <si>
    <t>四色款EPE75*90*150CM</t>
  </si>
  <si>
    <t>小班攀爬架1</t>
  </si>
  <si>
    <t>顾之</t>
  </si>
  <si>
    <t>三角+双滑梯+半圆</t>
  </si>
  <si>
    <t xml:space="preserve">长100*宽32.5CM
</t>
  </si>
  <si>
    <t>小班攀爬架2</t>
  </si>
  <si>
    <t>整号小圆+滑板</t>
  </si>
  <si>
    <t>塑料组件</t>
  </si>
  <si>
    <t xml:space="preserve">
直径100厘米，宽42厘米</t>
  </si>
  <si>
    <t>儿童双杠</t>
  </si>
  <si>
    <t>惠丰感统</t>
  </si>
  <si>
    <t>黄色可调节</t>
  </si>
  <si>
    <t>高78-88CM，宽65VM</t>
  </si>
  <si>
    <t>踏板</t>
  </si>
  <si>
    <t>非凡健身</t>
  </si>
  <si>
    <t>110绿色踏板</t>
  </si>
  <si>
    <t>塑料底+贴皮胶</t>
  </si>
  <si>
    <t>110cm×41cm×16cm</t>
  </si>
  <si>
    <t>智酷堡积木玩具</t>
  </si>
  <si>
    <t>wisdom cool fort/智酷堡</t>
  </si>
  <si>
    <t>280×140×60mm</t>
  </si>
  <si>
    <t>太空反重力轨道车</t>
  </si>
  <si>
    <t>小侍郎</t>
  </si>
  <si>
    <t>256件</t>
  </si>
  <si>
    <t>36.5×10×44cm
256件套</t>
  </si>
  <si>
    <t>吸管玩具</t>
  </si>
  <si>
    <t>400吸管+400接头</t>
  </si>
  <si>
    <t>磁力片</t>
  </si>
  <si>
    <t>2018152203020679</t>
  </si>
  <si>
    <t>塑料+磁铁</t>
  </si>
  <si>
    <t>7.5mm</t>
  </si>
  <si>
    <t>榫卯积木玩具</t>
  </si>
  <si>
    <t>238片</t>
  </si>
  <si>
    <t>睿思重力轨道球</t>
  </si>
  <si>
    <t>23863重力轨道球小小世界（雨林）100个组件</t>
  </si>
  <si>
    <t>金属、塑料、纸板的混合材料</t>
  </si>
  <si>
    <t>338*110*338MM</t>
  </si>
  <si>
    <t>电路玩具四种各一套</t>
  </si>
  <si>
    <t>电子元件、ABS塑料、铜件</t>
  </si>
  <si>
    <t>57pcs（旗舰款，468种实践）</t>
  </si>
  <si>
    <t>儿童大颗粒滚珠轨道场景拼插积木</t>
  </si>
  <si>
    <t>孩子乐（母婴类）</t>
  </si>
  <si>
    <t>3斤装</t>
  </si>
  <si>
    <t>瑞乔齿轮电动拼装积木</t>
  </si>
  <si>
    <t>越途</t>
  </si>
  <si>
    <t>豪华礼盒装252件</t>
  </si>
  <si>
    <t>塑料及电子原件</t>
  </si>
  <si>
    <t>交通标志牌</t>
  </si>
  <si>
    <t>一套20个</t>
  </si>
  <si>
    <t>总高80cm标志牌厚度1毫米左右
底座：直径20*高9cm
黄杆：直径25mm*长80cm
圆形标志牌：直径30cm 正方形标志牌：30*30cm 三角形标志牌：边长30cm 长方形标志牌：30*20cm</t>
  </si>
  <si>
    <t>建筑区交通标志</t>
  </si>
  <si>
    <t>巧灵珑</t>
  </si>
  <si>
    <t>60交通标志</t>
  </si>
  <si>
    <t>8.7cm—2.5cm</t>
  </si>
  <si>
    <t>九合一棋类</t>
  </si>
  <si>
    <t>呱呱乐</t>
  </si>
  <si>
    <t>大号磁性款</t>
  </si>
  <si>
    <t>六合一磁性38cm*38cm</t>
  </si>
  <si>
    <t>高透光影亚克力彩虹宝石积木</t>
  </si>
  <si>
    <t>北欧小屋</t>
  </si>
  <si>
    <t>木质、亚克力</t>
  </si>
  <si>
    <t>高透60粒，彩虹方块</t>
  </si>
  <si>
    <t>实木原木带孔大积木</t>
  </si>
  <si>
    <t>木叔叔</t>
  </si>
  <si>
    <t>彩色180粒</t>
  </si>
  <si>
    <t>双倍单元模块</t>
  </si>
  <si>
    <t>海森高</t>
  </si>
  <si>
    <t>280×140×70</t>
  </si>
  <si>
    <t>280×140×70mm</t>
  </si>
  <si>
    <t>四倍单元模块</t>
  </si>
  <si>
    <t>560×140×70</t>
  </si>
  <si>
    <t>560×140×70mm</t>
  </si>
  <si>
    <t>斜三角模块</t>
  </si>
  <si>
    <t>骑行小车1</t>
  </si>
  <si>
    <t>星玛童</t>
  </si>
  <si>
    <t>MT-6198</t>
  </si>
  <si>
    <t>118×58×63CM</t>
  </si>
  <si>
    <t>骑行小车2</t>
  </si>
  <si>
    <t>MT-5195</t>
  </si>
  <si>
    <t>红色橡胶轮</t>
  </si>
  <si>
    <t>90*58*66CM</t>
  </si>
  <si>
    <t>骑行小车3</t>
  </si>
  <si>
    <t>骑行小车4</t>
  </si>
  <si>
    <t>骑行小车5</t>
  </si>
  <si>
    <t>MT-6196</t>
  </si>
  <si>
    <t>135×50×50CM</t>
  </si>
  <si>
    <t>电子积木</t>
  </si>
  <si>
    <t>STEAM</t>
  </si>
  <si>
    <t>30粒原件80种电路</t>
  </si>
  <si>
    <t>塑料（ABS、PP、PC）</t>
  </si>
  <si>
    <t>41.5*30.5*8.2cm</t>
  </si>
  <si>
    <t>科学天平</t>
  </si>
  <si>
    <t>USL</t>
  </si>
  <si>
    <t>小熊砝码科学天平</t>
  </si>
  <si>
    <t>37.8*14.2*14.4cm</t>
  </si>
  <si>
    <t>弹珠滚珠轨道</t>
  </si>
  <si>
    <t>玩乐汇</t>
  </si>
  <si>
    <t>百变滚珠轨道积木238pcs</t>
  </si>
  <si>
    <t>43.8*11.5*33cm</t>
  </si>
  <si>
    <t>磁力轨道</t>
  </si>
  <si>
    <t>DUDUBA</t>
  </si>
  <si>
    <t>212棱镜片+92管道</t>
  </si>
  <si>
    <t>塑料；磁铁</t>
  </si>
  <si>
    <t>23.8*7.5cm;25*7.5cm;7.5*7.5cm</t>
  </si>
  <si>
    <t>俄罗斯方块积木</t>
  </si>
  <si>
    <t>【木框带底座】俄罗斯方块拼图</t>
  </si>
  <si>
    <t>19.5*23.5cm</t>
  </si>
  <si>
    <t>百变伸缩管</t>
  </si>
  <si>
    <t>玩具梦工厂</t>
  </si>
  <si>
    <t>直径1.9cm200支直径2.9cm200支</t>
  </si>
  <si>
    <t>直径1.9cm直径2.9cm</t>
  </si>
  <si>
    <t>积木玩具防雨布收纳</t>
  </si>
  <si>
    <t>启瑞遮阳</t>
  </si>
  <si>
    <t>405*85*120白蓝条</t>
  </si>
  <si>
    <t>ABS材质PVC</t>
  </si>
  <si>
    <t>405*85*120cm</t>
  </si>
  <si>
    <t>儿童滚珠轨道迷宫积木</t>
  </si>
  <si>
    <t>造梦小屋</t>
  </si>
  <si>
    <t>100件构建轨道滚珠积木</t>
  </si>
  <si>
    <t>100件</t>
  </si>
  <si>
    <t>吸管积木</t>
  </si>
  <si>
    <t>1000超能箱</t>
  </si>
  <si>
    <t>阿基米德儿童积木小木条</t>
  </si>
  <si>
    <t>启智圆梦</t>
  </si>
  <si>
    <t>490颗加厚款</t>
  </si>
  <si>
    <t>中号</t>
  </si>
  <si>
    <t>科学区角认识磁铁</t>
  </si>
  <si>
    <t>认识磁铁12合1</t>
  </si>
  <si>
    <t>铁质</t>
  </si>
  <si>
    <t>12合1</t>
  </si>
  <si>
    <t>多米诺骨牌</t>
  </si>
  <si>
    <t>千喜千乐</t>
  </si>
  <si>
    <t>标准600片</t>
  </si>
  <si>
    <t>标准</t>
  </si>
  <si>
    <t>地球仪</t>
  </si>
  <si>
    <t>南北球</t>
  </si>
  <si>
    <t>教学版配重免安装</t>
  </si>
  <si>
    <t>32厘米</t>
  </si>
  <si>
    <t>磁力积木片</t>
  </si>
  <si>
    <t>大自然护眼色系（含收纳箱12L）</t>
  </si>
  <si>
    <t>200片</t>
  </si>
  <si>
    <t>磁性正方体积木</t>
  </si>
  <si>
    <t>安源小子</t>
  </si>
  <si>
    <t>64粒8色</t>
  </si>
  <si>
    <t>25mm</t>
  </si>
  <si>
    <t>大号木质钟表</t>
  </si>
  <si>
    <t>萌丫丫</t>
  </si>
  <si>
    <t>木质钟表</t>
  </si>
  <si>
    <t>3D建构积木+颜色记忆棋</t>
  </si>
  <si>
    <t>光影魔法电路迷宫投影</t>
  </si>
  <si>
    <t>神马先生</t>
  </si>
  <si>
    <t>常规</t>
  </si>
  <si>
    <t>象棋</t>
  </si>
  <si>
    <t>斯邦达</t>
  </si>
  <si>
    <t>特大号磁性象棋32×32</t>
  </si>
  <si>
    <t>32×32cm</t>
  </si>
  <si>
    <t>斗兽棋</t>
  </si>
  <si>
    <t>皇宫宝贝</t>
  </si>
  <si>
    <t>大号送收纳盒</t>
  </si>
  <si>
    <t>编辫子教具</t>
  </si>
  <si>
    <t>大升</t>
  </si>
  <si>
    <t>四个套装</t>
  </si>
  <si>
    <t>木质+针织</t>
  </si>
  <si>
    <t>学系鞋带</t>
  </si>
  <si>
    <t>魔力启智</t>
  </si>
  <si>
    <t>全套三色球鞋+6根鞋带</t>
  </si>
  <si>
    <t>儿童拼图1</t>
  </si>
  <si>
    <t>彩童曼</t>
  </si>
  <si>
    <t>7阶5—8岁 三张组合B款</t>
  </si>
  <si>
    <t>96片</t>
  </si>
  <si>
    <t>儿童拼图2</t>
  </si>
  <si>
    <t>7阶5—8岁 三张组合A款</t>
  </si>
  <si>
    <t>儿童拼图3</t>
  </si>
  <si>
    <t>6阶4—8岁 四张组合A款</t>
  </si>
  <si>
    <t>80片</t>
  </si>
  <si>
    <t>俄罗斯方块积木拼图</t>
  </si>
  <si>
    <t>巧之木</t>
  </si>
  <si>
    <t>升级48块积木俄罗斯方块</t>
  </si>
  <si>
    <t>动物俄罗斯方块积木3D立体拼图</t>
  </si>
  <si>
    <t>猫绒绒</t>
  </si>
  <si>
    <t>动物32块</t>
  </si>
  <si>
    <t>解绳子游戏大挑战</t>
  </si>
  <si>
    <t>西游记服装</t>
  </si>
  <si>
    <t>红孩儿</t>
  </si>
  <si>
    <t>五个角色各一件</t>
  </si>
  <si>
    <t>针织</t>
  </si>
  <si>
    <t>儿童款</t>
  </si>
  <si>
    <t>儿童交通警察服1</t>
  </si>
  <si>
    <t>虎漫壁</t>
  </si>
  <si>
    <t>男黑蓝帽+马甲</t>
  </si>
  <si>
    <t>聚酯纤维</t>
  </si>
  <si>
    <t>尺寸130</t>
  </si>
  <si>
    <t>儿童交通警察服2</t>
  </si>
  <si>
    <t>女白帽+马甲</t>
  </si>
  <si>
    <t>西游记道具</t>
  </si>
  <si>
    <t>彩木四+佛珠+头饰</t>
  </si>
  <si>
    <t>三角铁（金属乐器）</t>
  </si>
  <si>
    <t>幼教早教</t>
  </si>
  <si>
    <t>边长15厘米</t>
  </si>
  <si>
    <t>6英寸</t>
  </si>
  <si>
    <t>铃鼓（金属乐器）1</t>
  </si>
  <si>
    <t>木色8英寸（直径20厘米）</t>
  </si>
  <si>
    <t>8英寸</t>
  </si>
  <si>
    <t>铃鼓（金属乐器）2</t>
  </si>
  <si>
    <t>红色6英寸（直径15厘米）</t>
  </si>
  <si>
    <t>红色7英寸（直径15厘米）</t>
  </si>
  <si>
    <t>沙锤（木质音色）</t>
  </si>
  <si>
    <t>13厘米 （红 黄 蓝 粉）</t>
  </si>
  <si>
    <t>13厘米</t>
  </si>
  <si>
    <t>木琴（旋律乐器）</t>
  </si>
  <si>
    <t>快乐派对</t>
  </si>
  <si>
    <t>15音红色木琴</t>
  </si>
  <si>
    <t>15音</t>
  </si>
  <si>
    <t>放大镜</t>
  </si>
  <si>
    <t>学得乐</t>
  </si>
  <si>
    <t>粉色蓝色</t>
  </si>
  <si>
    <t>塑料+玻璃</t>
  </si>
  <si>
    <t>猜猜我是谁</t>
  </si>
  <si>
    <t>人物动物豪华款192卡</t>
  </si>
  <si>
    <t>塑料+纸质</t>
  </si>
  <si>
    <t>儿童磁性拼图</t>
  </si>
  <si>
    <t>贝塔曼</t>
  </si>
  <si>
    <t>3—6岁 恐龙+交通+海洋+公主</t>
  </si>
  <si>
    <t>4本</t>
  </si>
  <si>
    <t>比萨塔叠叠高</t>
  </si>
  <si>
    <t>小角丫</t>
  </si>
  <si>
    <t>幼儿园空心积木1</t>
  </si>
  <si>
    <t>萌兔</t>
  </si>
  <si>
    <t>58件大型A款</t>
  </si>
  <si>
    <t>58片</t>
  </si>
  <si>
    <t>幼儿园空心积木2</t>
  </si>
  <si>
    <t>58件大型B款</t>
  </si>
  <si>
    <t>幼儿园积木大型积木</t>
  </si>
  <si>
    <t>636块松木积木+加大加厚款</t>
  </si>
  <si>
    <t>636块</t>
  </si>
  <si>
    <t>大力士叠叠高</t>
  </si>
  <si>
    <t>48个</t>
  </si>
  <si>
    <t>万能工匠</t>
  </si>
  <si>
    <t>高阶机械工程套装337颗积木+图卡88+2个收纳箱+操作垫</t>
  </si>
  <si>
    <t>管道积木</t>
  </si>
  <si>
    <t>goryeobaby</t>
  </si>
  <si>
    <t>管道积木36片</t>
  </si>
  <si>
    <t>轨道滚珠积木</t>
  </si>
  <si>
    <t>升级款—银河竞速84pcs</t>
  </si>
  <si>
    <t>篮球架</t>
  </si>
  <si>
    <t>迈德</t>
  </si>
  <si>
    <t>儿童青少款</t>
  </si>
  <si>
    <t>1.55—2.1米</t>
  </si>
  <si>
    <t>儿童足球门</t>
  </si>
  <si>
    <t>隆派体育用品</t>
  </si>
  <si>
    <t>120×180×63cm 管径：32mm</t>
  </si>
  <si>
    <t xml:space="preserve">120×180×63cm </t>
  </si>
  <si>
    <t>垫子架</t>
  </si>
  <si>
    <t>巧虎儿童</t>
  </si>
  <si>
    <t>115×105×150cm</t>
  </si>
  <si>
    <t>儿童三轮车脚踏车</t>
  </si>
  <si>
    <t>bduck乐的</t>
  </si>
  <si>
    <t>3D小棕鸭+车篮</t>
  </si>
  <si>
    <t>69×35×48CM</t>
  </si>
  <si>
    <t>新款儿童自行车</t>
  </si>
  <si>
    <t>贝琦</t>
  </si>
  <si>
    <t>静音轮 + 礼包 卡米棕</t>
  </si>
  <si>
    <t>16寸</t>
  </si>
  <si>
    <t>幼儿园感统彩带飞盘</t>
  </si>
  <si>
    <t>讯图</t>
  </si>
  <si>
    <t>红黄蓝绿各10个</t>
  </si>
  <si>
    <t>布质</t>
  </si>
  <si>
    <t>19.5×100CM</t>
  </si>
  <si>
    <t>短绳</t>
  </si>
  <si>
    <t>创美绳业</t>
  </si>
  <si>
    <t>海绵握把蓝色</t>
  </si>
  <si>
    <t>60厘米</t>
  </si>
  <si>
    <t>呼啦圈</t>
  </si>
  <si>
    <t>奋发</t>
  </si>
  <si>
    <t xml:space="preserve"> 蓝色黄色绿色红色各35</t>
  </si>
  <si>
    <t>50厘米直径</t>
  </si>
  <si>
    <t>榴莲球2</t>
  </si>
  <si>
    <t>榴莲球8色</t>
  </si>
  <si>
    <t>16×9cm</t>
  </si>
  <si>
    <t>儿童羽毛球</t>
  </si>
  <si>
    <t>蓝色两拍两球</t>
  </si>
  <si>
    <t>儿童手摇铃幼儿园早操器械道具</t>
  </si>
  <si>
    <t>开心玛特</t>
  </si>
  <si>
    <t>小号（红、蓝、黄、绿 各25对）</t>
  </si>
  <si>
    <t>小号直径15cm</t>
  </si>
  <si>
    <t>彩虹伞1</t>
  </si>
  <si>
    <t>奕思瑞</t>
  </si>
  <si>
    <t>送平衡球+收纳袋</t>
  </si>
  <si>
    <t>3米</t>
  </si>
  <si>
    <t>彩虹伞2</t>
  </si>
  <si>
    <t>4米</t>
  </si>
  <si>
    <t>打地鼠彩虹伞1</t>
  </si>
  <si>
    <t>督特</t>
  </si>
  <si>
    <t>3米9洞</t>
  </si>
  <si>
    <t>打地鼠彩虹伞2</t>
  </si>
  <si>
    <t>3.6米9洞</t>
  </si>
  <si>
    <t>3.6米</t>
  </si>
  <si>
    <t>幼儿园辛鸟梯</t>
  </si>
  <si>
    <t>6米一套</t>
  </si>
  <si>
    <t>6米</t>
  </si>
  <si>
    <t>充气毛毛虫趣味运动会道具</t>
  </si>
  <si>
    <t>红黄蓝气模</t>
  </si>
  <si>
    <t>儿童加厚双包边</t>
  </si>
  <si>
    <t>直筒4人</t>
  </si>
  <si>
    <t>幼儿园水池布户外玩水</t>
  </si>
  <si>
    <t>立民</t>
  </si>
  <si>
    <t>双绿加厚</t>
  </si>
  <si>
    <t>聚乙烯PE防雨布</t>
  </si>
  <si>
    <t>10×20米</t>
  </si>
  <si>
    <t>风火轮</t>
  </si>
  <si>
    <t>鲨鱼辣椒</t>
  </si>
  <si>
    <t>儿童加厚迷彩款（4m2人）</t>
  </si>
  <si>
    <t>4m</t>
  </si>
  <si>
    <t>百变积木墙</t>
  </si>
  <si>
    <t>童趣积木</t>
  </si>
  <si>
    <t>448颗粒+灰色 +送收纳箱+5动物</t>
  </si>
  <si>
    <t>1平方</t>
  </si>
  <si>
    <t>经典七巧板积木</t>
  </si>
  <si>
    <t>320件纸箱装</t>
  </si>
  <si>
    <t>320件</t>
  </si>
  <si>
    <t>软铁白板</t>
  </si>
  <si>
    <t>软铁白色</t>
  </si>
  <si>
    <t>120×200CM</t>
  </si>
  <si>
    <t>妙想美术积木</t>
  </si>
  <si>
    <t>妙想美术368件纸箱装</t>
  </si>
  <si>
    <t>368件</t>
  </si>
  <si>
    <t>墙上玩具1</t>
  </si>
  <si>
    <t>金优玩具</t>
  </si>
  <si>
    <t xml:space="preserve">宇航员 </t>
  </si>
  <si>
    <r>
      <rPr>
        <u/>
        <sz val="10"/>
        <rFont val="宋体"/>
        <charset val="134"/>
      </rPr>
      <t>55</t>
    </r>
    <r>
      <rPr>
        <sz val="10"/>
        <rFont val="宋体"/>
        <charset val="134"/>
      </rPr>
      <t>×33.5cm</t>
    </r>
  </si>
  <si>
    <t>墙上玩具2</t>
  </si>
  <si>
    <t xml:space="preserve">警察   </t>
  </si>
  <si>
    <t>58×33.5cm</t>
  </si>
  <si>
    <t>墙上玩具3</t>
  </si>
  <si>
    <t>消防员</t>
  </si>
  <si>
    <t>墙上玩具4</t>
  </si>
  <si>
    <t>工人</t>
  </si>
  <si>
    <t>58×40cm</t>
  </si>
  <si>
    <t>墙面齿轮积木</t>
  </si>
  <si>
    <t>齿轮积木251件套+白色底板（1平方）</t>
  </si>
  <si>
    <t>光影万花筒科学创意实验套装</t>
  </si>
  <si>
    <t>学研</t>
  </si>
  <si>
    <t>学研光影万花筒科学创意套装</t>
  </si>
  <si>
    <t>金属+玻璃</t>
  </si>
  <si>
    <t>光影实验盒玩具</t>
  </si>
  <si>
    <t>咪菲</t>
  </si>
  <si>
    <t>光影实验盒幼儿园科学区材料</t>
  </si>
  <si>
    <t>小沙发1</t>
  </si>
  <si>
    <t>乐吉多</t>
  </si>
  <si>
    <t>大号粉色萌小兔</t>
  </si>
  <si>
    <t>小沙发2</t>
  </si>
  <si>
    <t>大号蓝色呆萌龙</t>
  </si>
  <si>
    <t>大颗粒滑道积木</t>
  </si>
  <si>
    <t>嘉爱</t>
  </si>
  <si>
    <t>168大颗粒+7汽车+底板</t>
  </si>
  <si>
    <t>168颗</t>
  </si>
  <si>
    <t>儿童搭房子积木</t>
  </si>
  <si>
    <t>创育</t>
  </si>
  <si>
    <t>228片+收纳盒</t>
  </si>
  <si>
    <t>228片</t>
  </si>
  <si>
    <t>幼儿园墙面玩具1</t>
  </si>
  <si>
    <t>幼乐比</t>
  </si>
  <si>
    <t>绿色鳄鱼</t>
  </si>
  <si>
    <t>木质+金属</t>
  </si>
  <si>
    <t>118×29.5CM</t>
  </si>
  <si>
    <t>幼儿园墙面玩具2</t>
  </si>
  <si>
    <t>VIGA</t>
  </si>
  <si>
    <t>金色小熊</t>
  </si>
  <si>
    <t>91×32×6CM</t>
  </si>
  <si>
    <t>磁力棒玩具</t>
  </si>
  <si>
    <t>德国Vapack</t>
  </si>
  <si>
    <t>加厚升级198件+送收纳盒</t>
  </si>
  <si>
    <t>198件</t>
  </si>
  <si>
    <t>德国Hape儿童早教玩具绕珠串珠五合一游戏盒</t>
  </si>
  <si>
    <t xml:space="preserve">Hape </t>
  </si>
  <si>
    <t>奇趣游戏盒</t>
  </si>
  <si>
    <t>49.7×35cm</t>
  </si>
  <si>
    <t>QSURF-CL-02磁力积木 44 件</t>
  </si>
  <si>
    <t>EVC</t>
  </si>
  <si>
    <t>内容44块</t>
  </si>
  <si>
    <t>磁力棒亲握积木 30件</t>
  </si>
  <si>
    <t xml:space="preserve">QG8312 </t>
  </si>
  <si>
    <t>A35塑料，
磁铁、TPE</t>
  </si>
  <si>
    <t>34.5×I9.5×19.5cm(包装尺寸)</t>
  </si>
  <si>
    <t>旷野非洲象艺术积木</t>
  </si>
  <si>
    <t xml:space="preserve">QE0489 </t>
  </si>
  <si>
    <t>MDF</t>
  </si>
  <si>
    <t>22×4×18cm(包装尺寸)</t>
  </si>
  <si>
    <t>冰川北极能艺术积木</t>
  </si>
  <si>
    <t xml:space="preserve">QE0490 </t>
  </si>
  <si>
    <t>25×18×4cm(包装尺寸)</t>
  </si>
  <si>
    <t>音乐积木</t>
  </si>
  <si>
    <t xml:space="preserve">QVG50682 </t>
  </si>
  <si>
    <t>桦木</t>
  </si>
  <si>
    <t>29×21×4.7cm(包装尺寸）</t>
  </si>
  <si>
    <t>淘气猫推推乐</t>
  </si>
  <si>
    <t xml:space="preserve">QE8472 </t>
  </si>
  <si>
    <t>26.5×18.5×4cm（包装尺寸）</t>
  </si>
  <si>
    <t>我的独角鲁小房车</t>
  </si>
  <si>
    <t>QGSW1018-04</t>
  </si>
  <si>
    <t>46x74.1x93.5cm【产品尺寸)</t>
  </si>
  <si>
    <t>酷葫妹妹小房车</t>
  </si>
  <si>
    <t>QGSW1018-02</t>
  </si>
  <si>
    <t>工程车-库帕</t>
  </si>
  <si>
    <t>QGSN1018-05</t>
  </si>
  <si>
    <t>46×74.1×89.2 cm（产品尺寸）</t>
  </si>
  <si>
    <t>魔天大滚轮</t>
  </si>
  <si>
    <t>QSC012</t>
  </si>
  <si>
    <t>420D网布  EVA</t>
  </si>
  <si>
    <t>95×95×50cm</t>
  </si>
  <si>
    <t>小手拉拉链</t>
  </si>
  <si>
    <t xml:space="preserve">QHB051131 </t>
  </si>
  <si>
    <t>帆布</t>
  </si>
  <si>
    <t>长88cm 宽12cm</t>
  </si>
  <si>
    <t>拖拉狗佩佩</t>
  </si>
  <si>
    <t>QE0347</t>
  </si>
  <si>
    <t>夹板
纺织品</t>
  </si>
  <si>
    <t>22×16.2×9.2cm</t>
  </si>
  <si>
    <t>蜗牛拖拉车</t>
  </si>
  <si>
    <t xml:space="preserve">QE0349 </t>
  </si>
  <si>
    <t>实木
夹板</t>
  </si>
  <si>
    <t>30×24×13 cm（包装尺寸）</t>
  </si>
  <si>
    <t>彩虹鳄鱼</t>
  </si>
  <si>
    <t xml:space="preserve">QPL1416 </t>
  </si>
  <si>
    <t>橡胶木</t>
  </si>
  <si>
    <t>28×11.5×9.5 cm</t>
  </si>
  <si>
    <t>经典拖拉鳄鱼</t>
  </si>
  <si>
    <t xml:space="preserve">QPL5105 </t>
  </si>
  <si>
    <t>28×12.4×11.3  cm</t>
  </si>
  <si>
    <t>花园推推乐</t>
  </si>
  <si>
    <t>QE0341</t>
  </si>
  <si>
    <t>10.2×56.5×17.5 cm</t>
  </si>
  <si>
    <t>推拉狗狗</t>
  </si>
  <si>
    <t>QPL5724</t>
  </si>
  <si>
    <t>19×14×57.5 cm</t>
  </si>
</sst>
</file>

<file path=xl/styles.xml><?xml version="1.0" encoding="utf-8"?>
<styleSheet xmlns="http://schemas.openxmlformats.org/spreadsheetml/2006/main" xmlns:mc="http://schemas.openxmlformats.org/markup-compatibility/2006" xmlns:xr9="http://schemas.microsoft.com/office/spreadsheetml/2016/revision9" mc:Ignorable="xr9">
  <numFmts count="7">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_);[Red]\(0\)"/>
    <numFmt numFmtId="177" formatCode="0_ "/>
    <numFmt numFmtId="178" formatCode="0.00_);[Red]\(0.00\)"/>
  </numFmts>
  <fonts count="33">
    <font>
      <sz val="11"/>
      <color theme="1"/>
      <name val="宋体"/>
      <charset val="134"/>
      <scheme val="minor"/>
    </font>
    <font>
      <b/>
      <sz val="12"/>
      <color theme="1"/>
      <name val="黑体"/>
      <charset val="134"/>
    </font>
    <font>
      <b/>
      <sz val="12"/>
      <name val="黑体"/>
      <charset val="134"/>
    </font>
    <font>
      <sz val="10"/>
      <name val="宋体"/>
      <charset val="134"/>
    </font>
    <font>
      <u/>
      <sz val="10"/>
      <name val="宋体"/>
      <charset val="134"/>
    </font>
    <font>
      <sz val="10"/>
      <color theme="1"/>
      <name val="宋体"/>
      <charset val="134"/>
    </font>
    <font>
      <sz val="10"/>
      <color rgb="FF11192D"/>
      <name val="宋体"/>
      <charset val="134"/>
    </font>
    <font>
      <sz val="10"/>
      <color rgb="FF000000"/>
      <name val="宋体"/>
      <charset val="134"/>
    </font>
    <font>
      <b/>
      <sz val="10"/>
      <color theme="1"/>
      <name val="宋体"/>
      <charset val="134"/>
    </font>
    <font>
      <b/>
      <sz val="10"/>
      <name val="宋体"/>
      <charset val="134"/>
    </font>
    <font>
      <sz val="10"/>
      <color indexed="8"/>
      <name val="宋体"/>
      <charset val="134"/>
    </font>
    <font>
      <u/>
      <sz val="10"/>
      <color theme="1"/>
      <name val="宋体"/>
      <charset val="134"/>
    </font>
    <font>
      <u/>
      <sz val="11"/>
      <color rgb="FF0000FF"/>
      <name val="宋体"/>
      <charset val="134"/>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0"/>
      <name val="Arial"/>
      <charset val="134"/>
    </font>
    <font>
      <sz val="10"/>
      <color theme="1"/>
      <name val="Arial"/>
      <charset val="134"/>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28">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rgb="FF000000"/>
      </left>
      <right style="thin">
        <color rgb="FF000000"/>
      </right>
      <top style="thin">
        <color rgb="FF000000"/>
      </top>
      <bottom style="thin">
        <color rgb="FF000000"/>
      </bottom>
      <diagonal/>
    </border>
    <border>
      <left/>
      <right style="thin">
        <color auto="1"/>
      </right>
      <top style="thin">
        <color auto="1"/>
      </top>
      <bottom style="thin">
        <color auto="1"/>
      </bottom>
      <diagonal/>
    </border>
    <border>
      <left/>
      <right style="thin">
        <color auto="1"/>
      </right>
      <top style="thin">
        <color auto="1"/>
      </top>
      <bottom/>
      <diagonal/>
    </border>
    <border>
      <left/>
      <right style="thin">
        <color auto="1"/>
      </right>
      <top/>
      <bottom/>
      <diagonal/>
    </border>
    <border>
      <left/>
      <right style="thin">
        <color auto="1"/>
      </right>
      <top/>
      <bottom style="thin">
        <color auto="1"/>
      </bottom>
      <diagonal/>
    </border>
    <border>
      <left/>
      <right style="thin">
        <color rgb="FF000000"/>
      </right>
      <top style="thin">
        <color rgb="FF000000"/>
      </top>
      <bottom style="thin">
        <color rgb="FF000000"/>
      </bottom>
      <diagonal/>
    </border>
    <border>
      <left style="medium">
        <color auto="1"/>
      </left>
      <right style="thin">
        <color auto="1"/>
      </right>
      <top style="thin">
        <color auto="1"/>
      </top>
      <bottom style="thin">
        <color auto="1"/>
      </bottom>
      <diagonal/>
    </border>
    <border>
      <left style="medium">
        <color auto="1"/>
      </left>
      <right style="thin">
        <color auto="1"/>
      </right>
      <top/>
      <bottom style="thin">
        <color auto="1"/>
      </bottom>
      <diagonal/>
    </border>
    <border>
      <left style="thin">
        <color rgb="FF000000"/>
      </left>
      <right style="thin">
        <color rgb="FF000000"/>
      </right>
      <top/>
      <bottom style="thin">
        <color rgb="FF000000"/>
      </bottom>
      <diagonal/>
    </border>
    <border>
      <left style="medium">
        <color auto="1"/>
      </left>
      <right style="thin">
        <color auto="1"/>
      </right>
      <top style="thin">
        <color auto="1"/>
      </top>
      <bottom/>
      <diagonal/>
    </border>
    <border>
      <left style="thin">
        <color rgb="FF000000"/>
      </left>
      <right style="thin">
        <color rgb="FF000000"/>
      </right>
      <top style="thin">
        <color rgb="FF000000"/>
      </top>
      <bottom/>
      <diagonal/>
    </border>
    <border>
      <left style="thin">
        <color auto="1"/>
      </left>
      <right/>
      <top style="thin">
        <color auto="1"/>
      </top>
      <bottom style="thin">
        <color auto="1"/>
      </bottom>
      <diagonal/>
    </border>
    <border>
      <left/>
      <right style="thin">
        <color rgb="FF000000"/>
      </right>
      <top style="thin">
        <color rgb="FF000000"/>
      </top>
      <bottom/>
      <diagonal/>
    </border>
    <border>
      <left style="thin">
        <color rgb="FF000000"/>
      </left>
      <right style="thin">
        <color rgb="FF000000"/>
      </right>
      <top style="thin">
        <color rgb="FF000000"/>
      </top>
      <bottom style="thin">
        <color auto="1"/>
      </bottom>
      <diagonal/>
    </border>
    <border>
      <left style="thin">
        <color rgb="FF000000"/>
      </left>
      <right style="thin">
        <color rgb="FF000000"/>
      </right>
      <top style="thin">
        <color auto="1"/>
      </top>
      <bottom style="thin">
        <color auto="1"/>
      </bottom>
      <diagonal/>
    </border>
    <border>
      <left style="thin">
        <color rgb="FF000000"/>
      </left>
      <right style="thin">
        <color rgb="FF000000"/>
      </right>
      <top style="thin">
        <color auto="1"/>
      </top>
      <bottom style="thin">
        <color rgb="FF000000"/>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2" fillId="0" borderId="0" applyNumberFormat="0" applyFill="0" applyBorder="0" applyAlignment="0" applyProtection="0">
      <alignment vertical="center"/>
    </xf>
    <xf numFmtId="0" fontId="13" fillId="0" borderId="0" applyNumberFormat="0" applyFill="0" applyBorder="0" applyAlignment="0" applyProtection="0">
      <alignment vertical="center"/>
    </xf>
    <xf numFmtId="0" fontId="0" fillId="2" borderId="20" applyNumberFormat="0" applyFont="0" applyAlignment="0" applyProtection="0">
      <alignment vertical="center"/>
    </xf>
    <xf numFmtId="0" fontId="14" fillId="0" borderId="0" applyNumberFormat="0" applyFill="0" applyBorder="0" applyAlignment="0" applyProtection="0">
      <alignment vertical="center"/>
    </xf>
    <xf numFmtId="0" fontId="15"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7" fillId="0" borderId="21" applyNumberFormat="0" applyFill="0" applyAlignment="0" applyProtection="0">
      <alignment vertical="center"/>
    </xf>
    <xf numFmtId="0" fontId="18" fillId="0" borderId="21" applyNumberFormat="0" applyFill="0" applyAlignment="0" applyProtection="0">
      <alignment vertical="center"/>
    </xf>
    <xf numFmtId="0" fontId="19" fillId="0" borderId="22" applyNumberFormat="0" applyFill="0" applyAlignment="0" applyProtection="0">
      <alignment vertical="center"/>
    </xf>
    <xf numFmtId="0" fontId="19" fillId="0" borderId="0" applyNumberFormat="0" applyFill="0" applyBorder="0" applyAlignment="0" applyProtection="0">
      <alignment vertical="center"/>
    </xf>
    <xf numFmtId="0" fontId="20" fillId="3" borderId="23" applyNumberFormat="0" applyAlignment="0" applyProtection="0">
      <alignment vertical="center"/>
    </xf>
    <xf numFmtId="0" fontId="21" fillId="4" borderId="24" applyNumberFormat="0" applyAlignment="0" applyProtection="0">
      <alignment vertical="center"/>
    </xf>
    <xf numFmtId="0" fontId="22" fillId="4" borderId="23" applyNumberFormat="0" applyAlignment="0" applyProtection="0">
      <alignment vertical="center"/>
    </xf>
    <xf numFmtId="0" fontId="23" fillId="5" borderId="25" applyNumberFormat="0" applyAlignment="0" applyProtection="0">
      <alignment vertical="center"/>
    </xf>
    <xf numFmtId="0" fontId="24" fillId="0" borderId="26" applyNumberFormat="0" applyFill="0" applyAlignment="0" applyProtection="0">
      <alignment vertical="center"/>
    </xf>
    <xf numFmtId="0" fontId="25" fillId="0" borderId="27" applyNumberFormat="0" applyFill="0" applyAlignment="0" applyProtection="0">
      <alignment vertical="center"/>
    </xf>
    <xf numFmtId="0" fontId="26" fillId="6" borderId="0" applyNumberFormat="0" applyBorder="0" applyAlignment="0" applyProtection="0">
      <alignment vertical="center"/>
    </xf>
    <xf numFmtId="0" fontId="27" fillId="7" borderId="0" applyNumberFormat="0" applyBorder="0" applyAlignment="0" applyProtection="0">
      <alignment vertical="center"/>
    </xf>
    <xf numFmtId="0" fontId="28" fillId="8" borderId="0" applyNumberFormat="0" applyBorder="0" applyAlignment="0" applyProtection="0">
      <alignment vertical="center"/>
    </xf>
    <xf numFmtId="0" fontId="29" fillId="9" borderId="0" applyNumberFormat="0" applyBorder="0" applyAlignment="0" applyProtection="0">
      <alignment vertical="center"/>
    </xf>
    <xf numFmtId="0" fontId="30" fillId="10" borderId="0" applyNumberFormat="0" applyBorder="0" applyAlignment="0" applyProtection="0">
      <alignment vertical="center"/>
    </xf>
    <xf numFmtId="0" fontId="30" fillId="11" borderId="0" applyNumberFormat="0" applyBorder="0" applyAlignment="0" applyProtection="0">
      <alignment vertical="center"/>
    </xf>
    <xf numFmtId="0" fontId="29" fillId="12" borderId="0" applyNumberFormat="0" applyBorder="0" applyAlignment="0" applyProtection="0">
      <alignment vertical="center"/>
    </xf>
    <xf numFmtId="0" fontId="29" fillId="13" borderId="0" applyNumberFormat="0" applyBorder="0" applyAlignment="0" applyProtection="0">
      <alignment vertical="center"/>
    </xf>
    <xf numFmtId="0" fontId="30" fillId="14" borderId="0" applyNumberFormat="0" applyBorder="0" applyAlignment="0" applyProtection="0">
      <alignment vertical="center"/>
    </xf>
    <xf numFmtId="0" fontId="30" fillId="15" borderId="0" applyNumberFormat="0" applyBorder="0" applyAlignment="0" applyProtection="0">
      <alignment vertical="center"/>
    </xf>
    <xf numFmtId="0" fontId="29" fillId="16" borderId="0" applyNumberFormat="0" applyBorder="0" applyAlignment="0" applyProtection="0">
      <alignment vertical="center"/>
    </xf>
    <xf numFmtId="0" fontId="29" fillId="17" borderId="0" applyNumberFormat="0" applyBorder="0" applyAlignment="0" applyProtection="0">
      <alignment vertical="center"/>
    </xf>
    <xf numFmtId="0" fontId="30" fillId="18" borderId="0" applyNumberFormat="0" applyBorder="0" applyAlignment="0" applyProtection="0">
      <alignment vertical="center"/>
    </xf>
    <xf numFmtId="0" fontId="30" fillId="19" borderId="0" applyNumberFormat="0" applyBorder="0" applyAlignment="0" applyProtection="0">
      <alignment vertical="center"/>
    </xf>
    <xf numFmtId="0" fontId="29" fillId="20" borderId="0" applyNumberFormat="0" applyBorder="0" applyAlignment="0" applyProtection="0">
      <alignment vertical="center"/>
    </xf>
    <xf numFmtId="0" fontId="29" fillId="21" borderId="0" applyNumberFormat="0" applyBorder="0" applyAlignment="0" applyProtection="0">
      <alignment vertical="center"/>
    </xf>
    <xf numFmtId="0" fontId="30" fillId="22" borderId="0" applyNumberFormat="0" applyBorder="0" applyAlignment="0" applyProtection="0">
      <alignment vertical="center"/>
    </xf>
    <xf numFmtId="0" fontId="30" fillId="23" borderId="0" applyNumberFormat="0" applyBorder="0" applyAlignment="0" applyProtection="0">
      <alignment vertical="center"/>
    </xf>
    <xf numFmtId="0" fontId="29" fillId="24" borderId="0" applyNumberFormat="0" applyBorder="0" applyAlignment="0" applyProtection="0">
      <alignment vertical="center"/>
    </xf>
    <xf numFmtId="0" fontId="29" fillId="25" borderId="0" applyNumberFormat="0" applyBorder="0" applyAlignment="0" applyProtection="0">
      <alignment vertical="center"/>
    </xf>
    <xf numFmtId="0" fontId="30" fillId="26" borderId="0" applyNumberFormat="0" applyBorder="0" applyAlignment="0" applyProtection="0">
      <alignment vertical="center"/>
    </xf>
    <xf numFmtId="0" fontId="30" fillId="27" borderId="0" applyNumberFormat="0" applyBorder="0" applyAlignment="0" applyProtection="0">
      <alignment vertical="center"/>
    </xf>
    <xf numFmtId="0" fontId="29" fillId="28" borderId="0" applyNumberFormat="0" applyBorder="0" applyAlignment="0" applyProtection="0">
      <alignment vertical="center"/>
    </xf>
    <xf numFmtId="0" fontId="29" fillId="29" borderId="0" applyNumberFormat="0" applyBorder="0" applyAlignment="0" applyProtection="0">
      <alignment vertical="center"/>
    </xf>
    <xf numFmtId="0" fontId="30" fillId="30" borderId="0" applyNumberFormat="0" applyBorder="0" applyAlignment="0" applyProtection="0">
      <alignment vertical="center"/>
    </xf>
    <xf numFmtId="0" fontId="30" fillId="31" borderId="0" applyNumberFormat="0" applyBorder="0" applyAlignment="0" applyProtection="0">
      <alignment vertical="center"/>
    </xf>
    <xf numFmtId="0" fontId="29" fillId="32" borderId="0" applyNumberFormat="0" applyBorder="0" applyAlignment="0" applyProtection="0">
      <alignment vertical="center"/>
    </xf>
  </cellStyleXfs>
  <cellXfs count="89">
    <xf numFmtId="0" fontId="0" fillId="0" borderId="0" xfId="0">
      <alignment vertical="center"/>
    </xf>
    <xf numFmtId="0" fontId="0" fillId="0" borderId="0" xfId="0" applyFill="1">
      <alignment vertical="center"/>
    </xf>
    <xf numFmtId="0" fontId="1" fillId="0" borderId="0" xfId="0" applyFont="1" applyFill="1" applyAlignment="1">
      <alignment horizontal="center" vertical="center"/>
    </xf>
    <xf numFmtId="0" fontId="2" fillId="0" borderId="1" xfId="0" applyFont="1" applyFill="1" applyBorder="1" applyAlignment="1">
      <alignment horizontal="center" vertical="center" wrapText="1"/>
    </xf>
    <xf numFmtId="176" fontId="2" fillId="0" borderId="1" xfId="0" applyNumberFormat="1" applyFont="1" applyFill="1" applyBorder="1" applyAlignment="1">
      <alignment horizontal="center" vertical="center"/>
    </xf>
    <xf numFmtId="0" fontId="3" fillId="0" borderId="1" xfId="0" applyFont="1" applyFill="1" applyBorder="1" applyAlignment="1">
      <alignment vertical="center" wrapText="1"/>
    </xf>
    <xf numFmtId="0" fontId="3" fillId="0" borderId="1" xfId="0" applyFont="1" applyFill="1" applyBorder="1" applyAlignment="1">
      <alignment horizontal="center" vertical="center" wrapText="1"/>
    </xf>
    <xf numFmtId="0" fontId="3" fillId="0" borderId="1" xfId="6" applyFont="1" applyFill="1" applyBorder="1" applyAlignment="1">
      <alignment horizontal="center" vertical="center" wrapText="1"/>
    </xf>
    <xf numFmtId="0" fontId="4" fillId="0" borderId="1" xfId="6" applyFont="1" applyFill="1" applyBorder="1" applyAlignment="1">
      <alignment horizontal="center" vertical="center" wrapText="1"/>
    </xf>
    <xf numFmtId="0" fontId="3" fillId="0" borderId="2" xfId="0" applyFont="1" applyFill="1" applyBorder="1" applyAlignment="1">
      <alignment horizontal="center" vertical="center" wrapText="1"/>
    </xf>
    <xf numFmtId="0" fontId="3" fillId="0" borderId="3" xfId="0" applyFont="1" applyFill="1" applyBorder="1" applyAlignment="1">
      <alignment horizontal="center" vertical="center" wrapText="1"/>
    </xf>
    <xf numFmtId="0" fontId="5" fillId="0" borderId="1" xfId="0" applyFont="1" applyFill="1" applyBorder="1" applyAlignment="1">
      <alignment horizontal="center" vertical="center" wrapText="1"/>
    </xf>
    <xf numFmtId="0" fontId="6" fillId="0" borderId="0" xfId="0" applyFont="1" applyFill="1" applyAlignment="1">
      <alignment horizontal="center" vertical="center"/>
    </xf>
    <xf numFmtId="0" fontId="7" fillId="0" borderId="4" xfId="0" applyFont="1" applyFill="1" applyBorder="1" applyAlignment="1">
      <alignment horizontal="center" vertical="center" wrapText="1"/>
    </xf>
    <xf numFmtId="0" fontId="7" fillId="0" borderId="1" xfId="0" applyFont="1" applyFill="1" applyBorder="1" applyAlignment="1">
      <alignment horizontal="center" vertical="center" wrapText="1"/>
    </xf>
    <xf numFmtId="0" fontId="7" fillId="0" borderId="1" xfId="0" applyFont="1" applyFill="1" applyBorder="1" applyAlignment="1">
      <alignment horizontal="center" vertical="center"/>
    </xf>
    <xf numFmtId="0" fontId="3" fillId="0" borderId="5" xfId="0" applyFont="1" applyFill="1" applyBorder="1">
      <alignment vertical="center"/>
    </xf>
    <xf numFmtId="0" fontId="3" fillId="0" borderId="1" xfId="0" applyFont="1" applyFill="1" applyBorder="1" applyAlignment="1">
      <alignment horizontal="center" vertical="center"/>
    </xf>
    <xf numFmtId="0" fontId="3" fillId="0" borderId="2" xfId="0" applyFont="1" applyFill="1" applyBorder="1" applyAlignment="1">
      <alignment horizontal="center" vertical="center"/>
    </xf>
    <xf numFmtId="0" fontId="3" fillId="0" borderId="0" xfId="0" applyFont="1" applyFill="1" applyAlignment="1">
      <alignment horizontal="center" vertical="center" wrapText="1"/>
    </xf>
    <xf numFmtId="0" fontId="3" fillId="0" borderId="5" xfId="0" applyFont="1" applyFill="1" applyBorder="1" applyAlignment="1">
      <alignment horizontal="center" vertical="center" wrapText="1"/>
    </xf>
    <xf numFmtId="0" fontId="3" fillId="0" borderId="6" xfId="0" applyFont="1" applyFill="1" applyBorder="1" applyAlignment="1">
      <alignment horizontal="center" vertical="center" wrapText="1"/>
    </xf>
    <xf numFmtId="0" fontId="3" fillId="0" borderId="7" xfId="0" applyFont="1" applyFill="1" applyBorder="1" applyAlignment="1">
      <alignment horizontal="center" vertical="center" wrapText="1"/>
    </xf>
    <xf numFmtId="0" fontId="3" fillId="0" borderId="8" xfId="0" applyFont="1" applyFill="1" applyBorder="1" applyAlignment="1">
      <alignment horizontal="center" vertical="center" wrapText="1"/>
    </xf>
    <xf numFmtId="0" fontId="3" fillId="0" borderId="9" xfId="0" applyFont="1" applyFill="1" applyBorder="1" applyAlignment="1">
      <alignment horizontal="left" vertical="center" wrapText="1"/>
    </xf>
    <xf numFmtId="0" fontId="3" fillId="0" borderId="4" xfId="0" applyFont="1" applyFill="1" applyBorder="1" applyAlignment="1">
      <alignment horizontal="center" vertical="center" wrapText="1"/>
    </xf>
    <xf numFmtId="0" fontId="3" fillId="0" borderId="4" xfId="0" applyFont="1" applyFill="1" applyBorder="1" applyAlignment="1">
      <alignment horizontal="center" vertical="center"/>
    </xf>
    <xf numFmtId="0" fontId="3" fillId="0" borderId="4" xfId="0" applyFont="1" applyFill="1" applyBorder="1" applyAlignment="1">
      <alignment vertical="center" wrapText="1"/>
    </xf>
    <xf numFmtId="0" fontId="3" fillId="0" borderId="10" xfId="0" applyFont="1" applyFill="1" applyBorder="1" applyAlignment="1">
      <alignment vertical="center" wrapText="1"/>
    </xf>
    <xf numFmtId="0" fontId="3" fillId="0" borderId="10" xfId="0" applyFont="1" applyFill="1" applyBorder="1" applyAlignment="1">
      <alignment horizontal="center" vertical="center" wrapText="1"/>
    </xf>
    <xf numFmtId="0" fontId="3" fillId="0" borderId="11" xfId="0" applyFont="1" applyFill="1" applyBorder="1" applyAlignment="1">
      <alignment horizontal="center" vertical="center" wrapText="1"/>
    </xf>
    <xf numFmtId="0" fontId="3" fillId="0" borderId="12" xfId="0" applyFont="1" applyFill="1" applyBorder="1" applyAlignment="1">
      <alignment horizontal="center" vertical="center" wrapText="1"/>
    </xf>
    <xf numFmtId="0" fontId="3" fillId="0" borderId="12" xfId="0" applyFont="1" applyFill="1" applyBorder="1" applyAlignment="1">
      <alignment horizontal="center" vertical="center"/>
    </xf>
    <xf numFmtId="0" fontId="3" fillId="0" borderId="13" xfId="0" applyFont="1" applyFill="1" applyBorder="1" applyAlignment="1">
      <alignment horizontal="center" vertical="center" wrapText="1"/>
    </xf>
    <xf numFmtId="0" fontId="3" fillId="0" borderId="14" xfId="0" applyFont="1" applyFill="1" applyBorder="1" applyAlignment="1">
      <alignment horizontal="center" vertical="center" wrapText="1"/>
    </xf>
    <xf numFmtId="0" fontId="3" fillId="0" borderId="14" xfId="0" applyFont="1" applyFill="1" applyBorder="1" applyAlignment="1">
      <alignment horizontal="center" vertical="center"/>
    </xf>
    <xf numFmtId="0" fontId="3" fillId="0" borderId="15" xfId="0" applyFont="1" applyFill="1" applyBorder="1" applyAlignment="1">
      <alignment horizontal="center" vertical="center" wrapText="1"/>
    </xf>
    <xf numFmtId="0" fontId="3" fillId="0" borderId="0" xfId="0" applyFont="1" applyFill="1">
      <alignment vertical="center"/>
    </xf>
    <xf numFmtId="0" fontId="5" fillId="0" borderId="1" xfId="0" applyFont="1" applyFill="1" applyBorder="1" applyAlignment="1">
      <alignment horizontal="center" vertical="center"/>
    </xf>
    <xf numFmtId="0" fontId="8" fillId="0" borderId="1" xfId="0" applyFont="1" applyFill="1" applyBorder="1" applyAlignment="1">
      <alignment horizontal="center" vertical="center" wrapText="1"/>
    </xf>
    <xf numFmtId="0" fontId="3" fillId="0" borderId="1" xfId="0" applyFont="1" applyFill="1" applyBorder="1">
      <alignment vertical="center"/>
    </xf>
    <xf numFmtId="0" fontId="9" fillId="0" borderId="1" xfId="0" applyFont="1" applyFill="1" applyBorder="1" applyAlignment="1">
      <alignment horizontal="center" vertical="center" wrapText="1"/>
    </xf>
    <xf numFmtId="0" fontId="3" fillId="0" borderId="1" xfId="0" applyFont="1" applyFill="1" applyBorder="1" applyAlignment="1">
      <alignment horizontal="left" vertical="center" wrapText="1"/>
    </xf>
    <xf numFmtId="0" fontId="3" fillId="0" borderId="1" xfId="0" applyFont="1" applyFill="1" applyBorder="1" applyAlignment="1">
      <alignment horizontal="center" vertical="center" wrapText="1" shrinkToFit="1"/>
    </xf>
    <xf numFmtId="0" fontId="3" fillId="0" borderId="1" xfId="6" applyNumberFormat="1" applyFont="1" applyFill="1" applyBorder="1" applyAlignment="1">
      <alignment horizontal="center" vertical="center" wrapText="1"/>
    </xf>
    <xf numFmtId="0" fontId="4" fillId="0" borderId="1" xfId="6" applyNumberFormat="1" applyFont="1" applyFill="1" applyBorder="1" applyAlignment="1">
      <alignment horizontal="center" vertical="center" wrapText="1"/>
    </xf>
    <xf numFmtId="0" fontId="3" fillId="0" borderId="0" xfId="0" applyFont="1" applyFill="1" applyAlignment="1">
      <alignment horizontal="center" vertical="center"/>
    </xf>
    <xf numFmtId="0" fontId="4" fillId="0" borderId="1" xfId="6" applyNumberFormat="1" applyFont="1" applyFill="1" applyBorder="1">
      <alignment vertical="center"/>
    </xf>
    <xf numFmtId="0" fontId="5" fillId="0" borderId="5" xfId="0" applyFont="1" applyFill="1" applyBorder="1" applyAlignment="1">
      <alignment horizontal="center" vertical="center" wrapText="1"/>
    </xf>
    <xf numFmtId="0" fontId="5" fillId="0" borderId="1" xfId="0" applyFont="1" applyFill="1" applyBorder="1">
      <alignment vertical="center"/>
    </xf>
    <xf numFmtId="0" fontId="3" fillId="0" borderId="5" xfId="0" applyFont="1" applyFill="1" applyBorder="1" applyAlignment="1">
      <alignment horizontal="center" vertical="center"/>
    </xf>
    <xf numFmtId="0" fontId="6" fillId="0" borderId="1" xfId="0" applyFont="1" applyFill="1" applyBorder="1" applyAlignment="1">
      <alignment horizontal="center" vertical="center" wrapText="1"/>
    </xf>
    <xf numFmtId="0" fontId="6" fillId="0" borderId="1" xfId="0" applyFont="1" applyFill="1" applyBorder="1" applyAlignment="1">
      <alignment horizontal="center" vertical="center"/>
    </xf>
    <xf numFmtId="49" fontId="6" fillId="0" borderId="1" xfId="0" applyNumberFormat="1" applyFont="1" applyFill="1" applyBorder="1" applyAlignment="1">
      <alignment horizontal="center" vertical="center"/>
    </xf>
    <xf numFmtId="0" fontId="5" fillId="0" borderId="1" xfId="0" applyFont="1" applyFill="1" applyBorder="1" applyAlignment="1">
      <alignment vertical="center" wrapText="1"/>
    </xf>
    <xf numFmtId="177" fontId="5" fillId="0" borderId="1" xfId="0" applyNumberFormat="1" applyFont="1" applyFill="1" applyBorder="1" applyAlignment="1">
      <alignment horizontal="center" vertical="center" wrapText="1"/>
    </xf>
    <xf numFmtId="177" fontId="6" fillId="0" borderId="1" xfId="0" applyNumberFormat="1" applyFont="1" applyFill="1" applyBorder="1" applyAlignment="1">
      <alignment horizontal="center" vertical="center"/>
    </xf>
    <xf numFmtId="177" fontId="5" fillId="0" borderId="1" xfId="0" applyNumberFormat="1" applyFont="1" applyFill="1" applyBorder="1" applyAlignment="1">
      <alignment horizontal="center" vertical="center"/>
    </xf>
    <xf numFmtId="177" fontId="3" fillId="0" borderId="1" xfId="0" applyNumberFormat="1" applyFont="1" applyFill="1" applyBorder="1" applyAlignment="1">
      <alignment horizontal="center" vertical="center" wrapText="1"/>
    </xf>
    <xf numFmtId="177" fontId="6" fillId="0" borderId="1" xfId="0" applyNumberFormat="1" applyFont="1" applyFill="1" applyBorder="1" applyAlignment="1">
      <alignment horizontal="center" vertical="center" wrapText="1"/>
    </xf>
    <xf numFmtId="0" fontId="10" fillId="0" borderId="1" xfId="0" applyFont="1" applyFill="1" applyBorder="1" applyAlignment="1">
      <alignment horizontal="center" vertical="center" wrapText="1"/>
    </xf>
    <xf numFmtId="0" fontId="6" fillId="0" borderId="0" xfId="0" applyFont="1" applyFill="1" applyAlignment="1">
      <alignment horizontal="center" vertical="center" wrapText="1"/>
    </xf>
    <xf numFmtId="177" fontId="10" fillId="0" borderId="1" xfId="0" applyNumberFormat="1" applyFont="1" applyFill="1" applyBorder="1" applyAlignment="1">
      <alignment horizontal="center" vertical="center" wrapText="1"/>
    </xf>
    <xf numFmtId="0" fontId="10" fillId="0" borderId="1" xfId="0" applyFont="1" applyFill="1" applyBorder="1" applyAlignment="1">
      <alignment horizontal="center" vertical="center" wrapText="1" shrinkToFit="1"/>
    </xf>
    <xf numFmtId="177" fontId="10" fillId="0" borderId="1" xfId="0" applyNumberFormat="1" applyFont="1" applyFill="1" applyBorder="1" applyAlignment="1">
      <alignment horizontal="center" vertical="center" wrapText="1" shrinkToFit="1"/>
    </xf>
    <xf numFmtId="49" fontId="5" fillId="0" borderId="1" xfId="0" applyNumberFormat="1" applyFont="1" applyFill="1" applyBorder="1" applyAlignment="1">
      <alignment horizontal="center" vertical="center" wrapText="1"/>
    </xf>
    <xf numFmtId="49" fontId="10" fillId="0" borderId="1" xfId="0" applyNumberFormat="1" applyFont="1" applyFill="1" applyBorder="1" applyAlignment="1">
      <alignment horizontal="center" vertical="center" wrapText="1" shrinkToFit="1"/>
    </xf>
    <xf numFmtId="0" fontId="3" fillId="0" borderId="0" xfId="0" applyFont="1" applyFill="1" applyAlignment="1">
      <alignment horizontal="justify" vertical="center"/>
    </xf>
    <xf numFmtId="0" fontId="3" fillId="0" borderId="0" xfId="0" applyFont="1" applyFill="1" applyAlignment="1">
      <alignment vertical="center" wrapText="1"/>
    </xf>
    <xf numFmtId="0" fontId="3" fillId="0" borderId="16" xfId="0" applyFont="1" applyFill="1" applyBorder="1" applyAlignment="1">
      <alignment horizontal="center" vertical="center" wrapText="1"/>
    </xf>
    <xf numFmtId="178" fontId="3" fillId="0" borderId="4" xfId="0" applyNumberFormat="1" applyFont="1" applyFill="1" applyBorder="1" applyAlignment="1">
      <alignment horizontal="center" vertical="center" wrapText="1"/>
    </xf>
    <xf numFmtId="0" fontId="4" fillId="0" borderId="4" xfId="0" applyFont="1" applyFill="1" applyBorder="1" applyAlignment="1">
      <alignment horizontal="center" vertical="center" wrapText="1"/>
    </xf>
    <xf numFmtId="0" fontId="11" fillId="0" borderId="4" xfId="0" applyFont="1" applyFill="1" applyBorder="1" applyAlignment="1">
      <alignment horizontal="center" vertical="center" wrapText="1"/>
    </xf>
    <xf numFmtId="0" fontId="5" fillId="0" borderId="4" xfId="0" applyFont="1" applyFill="1" applyBorder="1" applyAlignment="1">
      <alignment horizontal="center" vertical="center"/>
    </xf>
    <xf numFmtId="0" fontId="5" fillId="0" borderId="4" xfId="0" applyFont="1" applyFill="1" applyBorder="1" applyAlignment="1">
      <alignment horizontal="center" vertical="center" wrapText="1"/>
    </xf>
    <xf numFmtId="0" fontId="3" fillId="0" borderId="17" xfId="0" applyFont="1" applyFill="1" applyBorder="1" applyAlignment="1">
      <alignment horizontal="center" vertical="center"/>
    </xf>
    <xf numFmtId="0" fontId="3" fillId="0" borderId="18" xfId="0" applyFont="1" applyFill="1" applyBorder="1" applyAlignment="1">
      <alignment horizontal="center" vertical="center"/>
    </xf>
    <xf numFmtId="0" fontId="3" fillId="0" borderId="19" xfId="0" applyFont="1" applyFill="1" applyBorder="1" applyAlignment="1">
      <alignment horizontal="center" vertical="center" wrapText="1"/>
    </xf>
    <xf numFmtId="0" fontId="3" fillId="0" borderId="1" xfId="0" applyFont="1" applyFill="1" applyBorder="1" applyAlignment="1">
      <alignment horizontal="justify" vertical="center"/>
    </xf>
    <xf numFmtId="0" fontId="3" fillId="0" borderId="1" xfId="0" applyFont="1" applyFill="1" applyBorder="1" applyAlignment="1">
      <alignment horizontal="justify" vertical="center" wrapText="1"/>
    </xf>
    <xf numFmtId="0" fontId="3" fillId="0" borderId="1" xfId="0" applyFont="1" applyFill="1" applyBorder="1" applyAlignment="1">
      <alignment horizontal="center" vertical="top" wrapText="1"/>
    </xf>
    <xf numFmtId="0" fontId="3" fillId="0" borderId="1" xfId="0" applyFont="1" applyFill="1" applyBorder="1" applyAlignment="1">
      <alignment horizontal="center" vertical="top"/>
    </xf>
    <xf numFmtId="0" fontId="3" fillId="0" borderId="2" xfId="0" applyFont="1" applyFill="1" applyBorder="1" applyAlignment="1">
      <alignment horizontal="center" vertical="top"/>
    </xf>
    <xf numFmtId="0" fontId="3" fillId="0" borderId="0" xfId="0" applyFont="1" applyFill="1" applyAlignment="1">
      <alignment horizontal="center" vertical="top"/>
    </xf>
    <xf numFmtId="0" fontId="3" fillId="0" borderId="15" xfId="0" applyFont="1" applyFill="1" applyBorder="1" applyAlignment="1">
      <alignment horizontal="center" vertical="top" wrapText="1"/>
    </xf>
    <xf numFmtId="0" fontId="3" fillId="0" borderId="5" xfId="0" applyFont="1" applyFill="1" applyBorder="1" applyAlignment="1">
      <alignment horizontal="center" vertical="top" wrapText="1"/>
    </xf>
    <xf numFmtId="0" fontId="3" fillId="0" borderId="1" xfId="6" applyFont="1" applyFill="1" applyBorder="1" applyAlignment="1">
      <alignment horizontal="center" vertical="top" wrapText="1"/>
    </xf>
    <xf numFmtId="0" fontId="3" fillId="0" borderId="15" xfId="0" applyFont="1" applyFill="1" applyBorder="1" applyAlignment="1">
      <alignment horizontal="center" vertical="top"/>
    </xf>
    <xf numFmtId="0" fontId="4" fillId="0" borderId="1" xfId="6" applyFont="1" applyFill="1" applyBorder="1" applyAlignment="1">
      <alignment horizontal="center" vertical="top" wrapText="1"/>
    </xf>
    <xf numFmtId="0" fontId="3" fillId="0" borderId="1" xfId="0" applyFont="1" applyFill="1" applyBorder="1" applyAlignment="1" quotePrefix="1">
      <alignment horizontal="center" vertical="center" wrapText="1"/>
    </xf>
    <xf numFmtId="0" fontId="5" fillId="0" borderId="1" xfId="0" applyFont="1" applyFill="1" applyBorder="1" applyAlignment="1" quotePrefix="1">
      <alignment horizontal="center" vertical="center" wrapText="1"/>
    </xf>
    <xf numFmtId="0" fontId="3" fillId="0" borderId="4" xfId="0" applyFont="1" applyFill="1" applyBorder="1" applyAlignment="1" quotePrefix="1">
      <alignment horizontal="center" vertical="center" wrapText="1"/>
    </xf>
    <xf numFmtId="177" fontId="3" fillId="0" borderId="1" xfId="0" applyNumberFormat="1" applyFont="1" applyFill="1" applyBorder="1" applyAlignment="1" quotePrefix="1">
      <alignment horizontal="center" vertical="center" wrapText="1"/>
    </xf>
    <xf numFmtId="0" fontId="3" fillId="0" borderId="1" xfId="0" applyFont="1" applyFill="1" applyBorder="1" applyAlignment="1" quotePrefix="1">
      <alignment horizontal="center" vertical="center"/>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dxfs count="20">
    <dxf>
      <font>
        <color rgb="FF9C0006"/>
      </font>
      <fill>
        <patternFill patternType="solid">
          <bgColor rgb="FFFFC7CE"/>
        </patternFill>
      </fill>
    </dxf>
    <dxf>
      <fill>
        <patternFill patternType="solid">
          <bgColor rgb="FFFFC7CE"/>
        </patternFill>
      </fill>
    </dxf>
    <dxf>
      <font>
        <color rgb="FF9C6500"/>
      </font>
      <fill>
        <patternFill patternType="solid">
          <bgColor rgb="FFFFEB9C"/>
        </patternFill>
      </fill>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9"/>
      <tableStyleElement type="headerRow" dxfId="8"/>
      <tableStyleElement type="totalRow" dxfId="7"/>
      <tableStyleElement type="firstColumn" dxfId="6"/>
      <tableStyleElement type="lastColumn" dxfId="5"/>
      <tableStyleElement type="firstRowStripe" dxfId="4"/>
      <tableStyleElement type="firstColumnStripe" dxfId="3"/>
    </tableStyle>
    <tableStyle name="PivotStylePreset2_Accent1" table="0" count="10" xr9:uid="{267968C8-6FFD-4C36-ACC1-9EA1FD1885CA}">
      <tableStyleElement type="headerRow" dxfId="19"/>
      <tableStyleElement type="totalRow" dxfId="18"/>
      <tableStyleElement type="firstRowStripe" dxfId="17"/>
      <tableStyleElement type="firstColumnStripe" dxfId="16"/>
      <tableStyleElement type="firstSubtotalRow" dxfId="15"/>
      <tableStyleElement type="secondSubtotalRow" dxfId="14"/>
      <tableStyleElement type="firstRowSubheading" dxfId="13"/>
      <tableStyleElement type="secondRowSubheading" dxfId="12"/>
      <tableStyleElement type="pageFieldLabels" dxfId="11"/>
      <tableStyleElement type="pageFieldValues" dxfId="10"/>
    </tableStyle>
  </tableStyle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9" Type="http://schemas.openxmlformats.org/officeDocument/2006/relationships/image" Target="media/image100.jpeg"/><Relationship Id="rId98" Type="http://schemas.openxmlformats.org/officeDocument/2006/relationships/image" Target="media/image99.png"/><Relationship Id="rId97" Type="http://schemas.openxmlformats.org/officeDocument/2006/relationships/image" Target="media/image98.png"/><Relationship Id="rId96" Type="http://schemas.openxmlformats.org/officeDocument/2006/relationships/image" Target="media/image97.png"/><Relationship Id="rId95" Type="http://schemas.openxmlformats.org/officeDocument/2006/relationships/image" Target="media/image96.png"/><Relationship Id="rId94" Type="http://schemas.openxmlformats.org/officeDocument/2006/relationships/image" Target="media/image95.jpeg"/><Relationship Id="rId93" Type="http://schemas.openxmlformats.org/officeDocument/2006/relationships/image" Target="media/image94.png"/><Relationship Id="rId92" Type="http://schemas.openxmlformats.org/officeDocument/2006/relationships/image" Target="media/image93.png"/><Relationship Id="rId91" Type="http://schemas.openxmlformats.org/officeDocument/2006/relationships/image" Target="media/image92.jpeg"/><Relationship Id="rId90" Type="http://schemas.openxmlformats.org/officeDocument/2006/relationships/image" Target="media/image91.png"/><Relationship Id="rId9" Type="http://schemas.openxmlformats.org/officeDocument/2006/relationships/image" Target="media/image10.png"/><Relationship Id="rId89" Type="http://schemas.openxmlformats.org/officeDocument/2006/relationships/image" Target="media/image90.png"/><Relationship Id="rId88" Type="http://schemas.openxmlformats.org/officeDocument/2006/relationships/image" Target="media/image89.png"/><Relationship Id="rId87" Type="http://schemas.openxmlformats.org/officeDocument/2006/relationships/image" Target="media/image88.png"/><Relationship Id="rId86" Type="http://schemas.openxmlformats.org/officeDocument/2006/relationships/image" Target="media/image87.png"/><Relationship Id="rId85" Type="http://schemas.openxmlformats.org/officeDocument/2006/relationships/image" Target="media/image86.png"/><Relationship Id="rId84" Type="http://schemas.openxmlformats.org/officeDocument/2006/relationships/image" Target="media/image85.jpeg"/><Relationship Id="rId83" Type="http://schemas.openxmlformats.org/officeDocument/2006/relationships/image" Target="media/image84.jpeg"/><Relationship Id="rId82" Type="http://schemas.openxmlformats.org/officeDocument/2006/relationships/image" Target="media/image83.jpeg"/><Relationship Id="rId81" Type="http://schemas.openxmlformats.org/officeDocument/2006/relationships/image" Target="media/image82.jpeg"/><Relationship Id="rId80" Type="http://schemas.openxmlformats.org/officeDocument/2006/relationships/image" Target="media/image81.png"/><Relationship Id="rId8" Type="http://schemas.openxmlformats.org/officeDocument/2006/relationships/image" Target="media/image9.png"/><Relationship Id="rId79" Type="http://schemas.openxmlformats.org/officeDocument/2006/relationships/image" Target="media/image80.png"/><Relationship Id="rId78" Type="http://schemas.openxmlformats.org/officeDocument/2006/relationships/image" Target="media/image79.png"/><Relationship Id="rId77" Type="http://schemas.openxmlformats.org/officeDocument/2006/relationships/image" Target="media/image78.png"/><Relationship Id="rId76" Type="http://schemas.openxmlformats.org/officeDocument/2006/relationships/image" Target="media/image77.png"/><Relationship Id="rId75" Type="http://schemas.openxmlformats.org/officeDocument/2006/relationships/image" Target="media/image76.png"/><Relationship Id="rId74" Type="http://schemas.openxmlformats.org/officeDocument/2006/relationships/image" Target="media/image75.png"/><Relationship Id="rId73" Type="http://schemas.openxmlformats.org/officeDocument/2006/relationships/image" Target="media/image74.png"/><Relationship Id="rId72" Type="http://schemas.openxmlformats.org/officeDocument/2006/relationships/image" Target="media/image73.png"/><Relationship Id="rId71" Type="http://schemas.openxmlformats.org/officeDocument/2006/relationships/image" Target="media/image72.png"/><Relationship Id="rId70" Type="http://schemas.openxmlformats.org/officeDocument/2006/relationships/image" Target="media/image71.jpeg"/><Relationship Id="rId7" Type="http://schemas.openxmlformats.org/officeDocument/2006/relationships/image" Target="media/image8.png"/><Relationship Id="rId69" Type="http://schemas.openxmlformats.org/officeDocument/2006/relationships/image" Target="media/image70.png"/><Relationship Id="rId68" Type="http://schemas.openxmlformats.org/officeDocument/2006/relationships/image" Target="media/image69.png"/><Relationship Id="rId67" Type="http://schemas.openxmlformats.org/officeDocument/2006/relationships/image" Target="media/image68.png"/><Relationship Id="rId66" Type="http://schemas.openxmlformats.org/officeDocument/2006/relationships/image" Target="media/image67.png"/><Relationship Id="rId65" Type="http://schemas.openxmlformats.org/officeDocument/2006/relationships/image" Target="media/image66.png"/><Relationship Id="rId64" Type="http://schemas.openxmlformats.org/officeDocument/2006/relationships/image" Target="media/image65.png"/><Relationship Id="rId63" Type="http://schemas.openxmlformats.org/officeDocument/2006/relationships/image" Target="media/image64.png"/><Relationship Id="rId62" Type="http://schemas.openxmlformats.org/officeDocument/2006/relationships/image" Target="media/image63.png"/><Relationship Id="rId61" Type="http://schemas.openxmlformats.org/officeDocument/2006/relationships/image" Target="media/image62.png"/><Relationship Id="rId60" Type="http://schemas.openxmlformats.org/officeDocument/2006/relationships/image" Target="media/image61.jpeg"/><Relationship Id="rId6" Type="http://schemas.openxmlformats.org/officeDocument/2006/relationships/image" Target="media/image7.png"/><Relationship Id="rId595" Type="http://schemas.openxmlformats.org/officeDocument/2006/relationships/image" Target="media/image595.png"/><Relationship Id="rId594" Type="http://schemas.openxmlformats.org/officeDocument/2006/relationships/image" Target="media/image594.png"/><Relationship Id="rId593" Type="http://schemas.openxmlformats.org/officeDocument/2006/relationships/image" Target="media/image593.png"/><Relationship Id="rId592" Type="http://schemas.openxmlformats.org/officeDocument/2006/relationships/image" Target="media/image592.png"/><Relationship Id="rId591" Type="http://schemas.openxmlformats.org/officeDocument/2006/relationships/image" Target="media/image591.png"/><Relationship Id="rId590" Type="http://schemas.openxmlformats.org/officeDocument/2006/relationships/image" Target="media/image590.png"/><Relationship Id="rId59" Type="http://schemas.openxmlformats.org/officeDocument/2006/relationships/image" Target="media/image60.png"/><Relationship Id="rId589" Type="http://schemas.openxmlformats.org/officeDocument/2006/relationships/image" Target="media/image589.png"/><Relationship Id="rId588" Type="http://schemas.openxmlformats.org/officeDocument/2006/relationships/image" Target="media/image588.png"/><Relationship Id="rId587" Type="http://schemas.openxmlformats.org/officeDocument/2006/relationships/image" Target="media/image587.png"/><Relationship Id="rId586" Type="http://schemas.openxmlformats.org/officeDocument/2006/relationships/image" Target="media/image586.png"/><Relationship Id="rId585" Type="http://schemas.openxmlformats.org/officeDocument/2006/relationships/image" Target="media/image585.png"/><Relationship Id="rId584" Type="http://schemas.openxmlformats.org/officeDocument/2006/relationships/image" Target="media/image584.png"/><Relationship Id="rId583" Type="http://schemas.openxmlformats.org/officeDocument/2006/relationships/image" Target="media/image583.png"/><Relationship Id="rId582" Type="http://schemas.openxmlformats.org/officeDocument/2006/relationships/image" Target="media/image582.png"/><Relationship Id="rId581" Type="http://schemas.openxmlformats.org/officeDocument/2006/relationships/image" Target="media/image581.png"/><Relationship Id="rId580" Type="http://schemas.openxmlformats.org/officeDocument/2006/relationships/image" Target="media/image580.png"/><Relationship Id="rId58" Type="http://schemas.openxmlformats.org/officeDocument/2006/relationships/image" Target="media/image59.png"/><Relationship Id="rId579" Type="http://schemas.openxmlformats.org/officeDocument/2006/relationships/image" Target="media/image579.png"/><Relationship Id="rId578" Type="http://schemas.openxmlformats.org/officeDocument/2006/relationships/image" Target="media/image578.png"/><Relationship Id="rId577" Type="http://schemas.openxmlformats.org/officeDocument/2006/relationships/image" Target="media/image577.png"/><Relationship Id="rId576" Type="http://schemas.openxmlformats.org/officeDocument/2006/relationships/image" Target="media/image576.png"/><Relationship Id="rId575" Type="http://schemas.openxmlformats.org/officeDocument/2006/relationships/image" Target="media/image575.png"/><Relationship Id="rId574" Type="http://schemas.openxmlformats.org/officeDocument/2006/relationships/image" Target="media/image574.png"/><Relationship Id="rId573" Type="http://schemas.openxmlformats.org/officeDocument/2006/relationships/image" Target="media/image573.png"/><Relationship Id="rId572" Type="http://schemas.openxmlformats.org/officeDocument/2006/relationships/image" Target="media/image572.png"/><Relationship Id="rId571" Type="http://schemas.openxmlformats.org/officeDocument/2006/relationships/image" Target="media/image571.png"/><Relationship Id="rId570" Type="http://schemas.openxmlformats.org/officeDocument/2006/relationships/image" Target="media/image570.png"/><Relationship Id="rId57" Type="http://schemas.openxmlformats.org/officeDocument/2006/relationships/image" Target="media/image58.png"/><Relationship Id="rId569" Type="http://schemas.openxmlformats.org/officeDocument/2006/relationships/image" Target="media/image569.png"/><Relationship Id="rId568" Type="http://schemas.openxmlformats.org/officeDocument/2006/relationships/image" Target="media/image568.png"/><Relationship Id="rId567" Type="http://schemas.openxmlformats.org/officeDocument/2006/relationships/image" Target="media/image567.png"/><Relationship Id="rId566" Type="http://schemas.openxmlformats.org/officeDocument/2006/relationships/image" Target="media/image566.png"/><Relationship Id="rId565" Type="http://schemas.openxmlformats.org/officeDocument/2006/relationships/image" Target="media/image565.png"/><Relationship Id="rId564" Type="http://schemas.openxmlformats.org/officeDocument/2006/relationships/image" Target="media/image564.png"/><Relationship Id="rId563" Type="http://schemas.openxmlformats.org/officeDocument/2006/relationships/image" Target="media/image563.png"/><Relationship Id="rId562" Type="http://schemas.openxmlformats.org/officeDocument/2006/relationships/image" Target="media/image562.png"/><Relationship Id="rId561" Type="http://schemas.openxmlformats.org/officeDocument/2006/relationships/image" Target="media/image561.png"/><Relationship Id="rId560" Type="http://schemas.openxmlformats.org/officeDocument/2006/relationships/image" Target="media/image560.png"/><Relationship Id="rId56" Type="http://schemas.openxmlformats.org/officeDocument/2006/relationships/image" Target="media/image57.png"/><Relationship Id="rId559" Type="http://schemas.openxmlformats.org/officeDocument/2006/relationships/image" Target="media/image559.png"/><Relationship Id="rId558" Type="http://schemas.openxmlformats.org/officeDocument/2006/relationships/image" Target="media/image558.png"/><Relationship Id="rId557" Type="http://schemas.openxmlformats.org/officeDocument/2006/relationships/image" Target="media/image557.png"/><Relationship Id="rId556" Type="http://schemas.openxmlformats.org/officeDocument/2006/relationships/image" Target="media/image556.png"/><Relationship Id="rId555" Type="http://schemas.openxmlformats.org/officeDocument/2006/relationships/image" Target="media/image555.png"/><Relationship Id="rId554" Type="http://schemas.openxmlformats.org/officeDocument/2006/relationships/image" Target="media/image554.png"/><Relationship Id="rId553" Type="http://schemas.openxmlformats.org/officeDocument/2006/relationships/image" Target="media/image553.png"/><Relationship Id="rId552" Type="http://schemas.openxmlformats.org/officeDocument/2006/relationships/image" Target="media/image552.png"/><Relationship Id="rId551" Type="http://schemas.openxmlformats.org/officeDocument/2006/relationships/image" Target="media/image551.png"/><Relationship Id="rId550" Type="http://schemas.openxmlformats.org/officeDocument/2006/relationships/image" Target="media/image550.png"/><Relationship Id="rId55" Type="http://schemas.openxmlformats.org/officeDocument/2006/relationships/image" Target="media/image56.png"/><Relationship Id="rId549" Type="http://schemas.openxmlformats.org/officeDocument/2006/relationships/image" Target="media/image549.png"/><Relationship Id="rId548" Type="http://schemas.openxmlformats.org/officeDocument/2006/relationships/image" Target="media/image548.png"/><Relationship Id="rId547" Type="http://schemas.openxmlformats.org/officeDocument/2006/relationships/image" Target="media/image547.png"/><Relationship Id="rId546" Type="http://schemas.openxmlformats.org/officeDocument/2006/relationships/image" Target="media/image546.png"/><Relationship Id="rId545" Type="http://schemas.openxmlformats.org/officeDocument/2006/relationships/image" Target="media/image545.png"/><Relationship Id="rId544" Type="http://schemas.openxmlformats.org/officeDocument/2006/relationships/image" Target="media/image544.png"/><Relationship Id="rId543" Type="http://schemas.openxmlformats.org/officeDocument/2006/relationships/image" Target="media/image543.jpeg"/><Relationship Id="rId542" Type="http://schemas.openxmlformats.org/officeDocument/2006/relationships/image" Target="media/image542.png"/><Relationship Id="rId541" Type="http://schemas.openxmlformats.org/officeDocument/2006/relationships/image" Target="media/image541.png"/><Relationship Id="rId540" Type="http://schemas.openxmlformats.org/officeDocument/2006/relationships/image" Target="media/image540.png"/><Relationship Id="rId54" Type="http://schemas.openxmlformats.org/officeDocument/2006/relationships/image" Target="media/image55.jpeg"/><Relationship Id="rId539" Type="http://schemas.openxmlformats.org/officeDocument/2006/relationships/image" Target="media/image539.png"/><Relationship Id="rId538" Type="http://schemas.openxmlformats.org/officeDocument/2006/relationships/image" Target="media/image538.png"/><Relationship Id="rId537" Type="http://schemas.openxmlformats.org/officeDocument/2006/relationships/image" Target="media/image537.png"/><Relationship Id="rId536" Type="http://schemas.openxmlformats.org/officeDocument/2006/relationships/image" Target="media/image536.png"/><Relationship Id="rId535" Type="http://schemas.openxmlformats.org/officeDocument/2006/relationships/image" Target="media/image535.png"/><Relationship Id="rId534" Type="http://schemas.openxmlformats.org/officeDocument/2006/relationships/image" Target="media/image534.png"/><Relationship Id="rId533" Type="http://schemas.openxmlformats.org/officeDocument/2006/relationships/image" Target="media/image533.png"/><Relationship Id="rId532" Type="http://schemas.openxmlformats.org/officeDocument/2006/relationships/image" Target="media/image532.png"/><Relationship Id="rId531" Type="http://schemas.openxmlformats.org/officeDocument/2006/relationships/image" Target="media/image531.png"/><Relationship Id="rId530" Type="http://schemas.openxmlformats.org/officeDocument/2006/relationships/image" Target="media/image530.png"/><Relationship Id="rId53" Type="http://schemas.openxmlformats.org/officeDocument/2006/relationships/image" Target="media/image54.png"/><Relationship Id="rId529" Type="http://schemas.openxmlformats.org/officeDocument/2006/relationships/image" Target="media/image529.png"/><Relationship Id="rId528" Type="http://schemas.openxmlformats.org/officeDocument/2006/relationships/image" Target="media/image528.png"/><Relationship Id="rId527" Type="http://schemas.openxmlformats.org/officeDocument/2006/relationships/image" Target="media/image527.png"/><Relationship Id="rId526" Type="http://schemas.openxmlformats.org/officeDocument/2006/relationships/image" Target="media/image526.png"/><Relationship Id="rId525" Type="http://schemas.openxmlformats.org/officeDocument/2006/relationships/image" Target="media/image525.png"/><Relationship Id="rId524" Type="http://schemas.openxmlformats.org/officeDocument/2006/relationships/image" Target="media/image524.png"/><Relationship Id="rId523" Type="http://schemas.openxmlformats.org/officeDocument/2006/relationships/image" Target="media/image523.png"/><Relationship Id="rId522" Type="http://schemas.openxmlformats.org/officeDocument/2006/relationships/image" Target="media/image522.png"/><Relationship Id="rId521" Type="http://schemas.openxmlformats.org/officeDocument/2006/relationships/image" Target="media/image521.png"/><Relationship Id="rId520" Type="http://schemas.openxmlformats.org/officeDocument/2006/relationships/image" Target="media/image520.png"/><Relationship Id="rId52" Type="http://schemas.openxmlformats.org/officeDocument/2006/relationships/image" Target="media/image53.jpeg"/><Relationship Id="rId519" Type="http://schemas.openxmlformats.org/officeDocument/2006/relationships/image" Target="media/image519.png"/><Relationship Id="rId518" Type="http://schemas.openxmlformats.org/officeDocument/2006/relationships/image" Target="media/image518.png"/><Relationship Id="rId517" Type="http://schemas.openxmlformats.org/officeDocument/2006/relationships/image" Target="media/image517.png"/><Relationship Id="rId516" Type="http://schemas.openxmlformats.org/officeDocument/2006/relationships/image" Target="media/image516.png"/><Relationship Id="rId515" Type="http://schemas.openxmlformats.org/officeDocument/2006/relationships/image" Target="media/image515.png"/><Relationship Id="rId514" Type="http://schemas.openxmlformats.org/officeDocument/2006/relationships/image" Target="media/image514.png"/><Relationship Id="rId513" Type="http://schemas.openxmlformats.org/officeDocument/2006/relationships/image" Target="media/image513.png"/><Relationship Id="rId512" Type="http://schemas.openxmlformats.org/officeDocument/2006/relationships/image" Target="media/image512.png"/><Relationship Id="rId511" Type="http://schemas.openxmlformats.org/officeDocument/2006/relationships/image" Target="media/image511.png"/><Relationship Id="rId510" Type="http://schemas.openxmlformats.org/officeDocument/2006/relationships/image" Target="media/image510.png"/><Relationship Id="rId51" Type="http://schemas.openxmlformats.org/officeDocument/2006/relationships/image" Target="media/image52.png"/><Relationship Id="rId509" Type="http://schemas.openxmlformats.org/officeDocument/2006/relationships/image" Target="media/image509.png"/><Relationship Id="rId508" Type="http://schemas.openxmlformats.org/officeDocument/2006/relationships/image" Target="media/image508.png"/><Relationship Id="rId507" Type="http://schemas.openxmlformats.org/officeDocument/2006/relationships/image" Target="media/image507.png"/><Relationship Id="rId506" Type="http://schemas.openxmlformats.org/officeDocument/2006/relationships/image" Target="media/image506.png"/><Relationship Id="rId505" Type="http://schemas.openxmlformats.org/officeDocument/2006/relationships/image" Target="media/image505.png"/><Relationship Id="rId504" Type="http://schemas.openxmlformats.org/officeDocument/2006/relationships/image" Target="media/image504.png"/><Relationship Id="rId503" Type="http://schemas.openxmlformats.org/officeDocument/2006/relationships/image" Target="media/image503.png"/><Relationship Id="rId502" Type="http://schemas.openxmlformats.org/officeDocument/2006/relationships/image" Target="media/image502.png"/><Relationship Id="rId501" Type="http://schemas.openxmlformats.org/officeDocument/2006/relationships/image" Target="media/image501.png"/><Relationship Id="rId500" Type="http://schemas.openxmlformats.org/officeDocument/2006/relationships/image" Target="media/image500.png"/><Relationship Id="rId50" Type="http://schemas.openxmlformats.org/officeDocument/2006/relationships/image" Target="media/image51.jpeg"/><Relationship Id="rId5" Type="http://schemas.openxmlformats.org/officeDocument/2006/relationships/image" Target="media/image6.png"/><Relationship Id="rId499" Type="http://schemas.openxmlformats.org/officeDocument/2006/relationships/image" Target="media/image499.png"/><Relationship Id="rId498" Type="http://schemas.openxmlformats.org/officeDocument/2006/relationships/image" Target="media/image498.png"/><Relationship Id="rId497" Type="http://schemas.openxmlformats.org/officeDocument/2006/relationships/image" Target="media/image497.png"/><Relationship Id="rId496" Type="http://schemas.openxmlformats.org/officeDocument/2006/relationships/image" Target="media/image496.png"/><Relationship Id="rId495" Type="http://schemas.openxmlformats.org/officeDocument/2006/relationships/image" Target="media/image495.png"/><Relationship Id="rId494" Type="http://schemas.openxmlformats.org/officeDocument/2006/relationships/image" Target="media/image494.png"/><Relationship Id="rId493" Type="http://schemas.openxmlformats.org/officeDocument/2006/relationships/image" Target="media/image493.png"/><Relationship Id="rId492" Type="http://schemas.openxmlformats.org/officeDocument/2006/relationships/image" Target="media/image492.jpeg"/><Relationship Id="rId491" Type="http://schemas.openxmlformats.org/officeDocument/2006/relationships/image" Target="media/image491.png"/><Relationship Id="rId490" Type="http://schemas.openxmlformats.org/officeDocument/2006/relationships/image" Target="media/image490.png"/><Relationship Id="rId49" Type="http://schemas.openxmlformats.org/officeDocument/2006/relationships/image" Target="media/image50.jpeg"/><Relationship Id="rId489" Type="http://schemas.openxmlformats.org/officeDocument/2006/relationships/image" Target="media/image489.png"/><Relationship Id="rId488" Type="http://schemas.openxmlformats.org/officeDocument/2006/relationships/image" Target="media/image488.png"/><Relationship Id="rId487" Type="http://schemas.openxmlformats.org/officeDocument/2006/relationships/image" Target="media/image487.png"/><Relationship Id="rId486" Type="http://schemas.openxmlformats.org/officeDocument/2006/relationships/image" Target="media/image486.png"/><Relationship Id="rId485" Type="http://schemas.openxmlformats.org/officeDocument/2006/relationships/image" Target="media/image485.png"/><Relationship Id="rId484" Type="http://schemas.openxmlformats.org/officeDocument/2006/relationships/image" Target="media/image484.jpeg"/><Relationship Id="rId483" Type="http://schemas.openxmlformats.org/officeDocument/2006/relationships/image" Target="media/image483.jpeg"/><Relationship Id="rId482" Type="http://schemas.openxmlformats.org/officeDocument/2006/relationships/image" Target="media/image482.jpeg"/><Relationship Id="rId481" Type="http://schemas.openxmlformats.org/officeDocument/2006/relationships/image" Target="media/image481.jpeg"/><Relationship Id="rId480" Type="http://schemas.openxmlformats.org/officeDocument/2006/relationships/image" Target="media/image480.jpeg"/><Relationship Id="rId48" Type="http://schemas.openxmlformats.org/officeDocument/2006/relationships/image" Target="media/image49.jpeg"/><Relationship Id="rId479" Type="http://schemas.openxmlformats.org/officeDocument/2006/relationships/image" Target="media/image479.jpeg"/><Relationship Id="rId478" Type="http://schemas.openxmlformats.org/officeDocument/2006/relationships/image" Target="media/image478.jpeg"/><Relationship Id="rId477" Type="http://schemas.openxmlformats.org/officeDocument/2006/relationships/image" Target="media/image477.jpeg"/><Relationship Id="rId476" Type="http://schemas.openxmlformats.org/officeDocument/2006/relationships/image" Target="media/image476.jpeg"/><Relationship Id="rId475" Type="http://schemas.openxmlformats.org/officeDocument/2006/relationships/image" Target="media/image475.jpeg"/><Relationship Id="rId474" Type="http://schemas.openxmlformats.org/officeDocument/2006/relationships/image" Target="media/image474.jpeg"/><Relationship Id="rId473" Type="http://schemas.openxmlformats.org/officeDocument/2006/relationships/image" Target="media/image473.jpeg"/><Relationship Id="rId472" Type="http://schemas.openxmlformats.org/officeDocument/2006/relationships/image" Target="media/image472.jpeg"/><Relationship Id="rId471" Type="http://schemas.openxmlformats.org/officeDocument/2006/relationships/image" Target="media/image471.jpeg"/><Relationship Id="rId470" Type="http://schemas.openxmlformats.org/officeDocument/2006/relationships/image" Target="media/image470.png"/><Relationship Id="rId47" Type="http://schemas.openxmlformats.org/officeDocument/2006/relationships/image" Target="media/image48.jpeg"/><Relationship Id="rId469" Type="http://schemas.openxmlformats.org/officeDocument/2006/relationships/image" Target="media/image469.png"/><Relationship Id="rId468" Type="http://schemas.openxmlformats.org/officeDocument/2006/relationships/image" Target="media/image468.png"/><Relationship Id="rId467" Type="http://schemas.openxmlformats.org/officeDocument/2006/relationships/image" Target="media/image467.png"/><Relationship Id="rId466" Type="http://schemas.openxmlformats.org/officeDocument/2006/relationships/image" Target="media/image466.png"/><Relationship Id="rId465" Type="http://schemas.openxmlformats.org/officeDocument/2006/relationships/image" Target="media/image465.png"/><Relationship Id="rId464" Type="http://schemas.openxmlformats.org/officeDocument/2006/relationships/image" Target="media/image464.jpeg"/><Relationship Id="rId463" Type="http://schemas.openxmlformats.org/officeDocument/2006/relationships/image" Target="media/image463.png"/><Relationship Id="rId462" Type="http://schemas.openxmlformats.org/officeDocument/2006/relationships/image" Target="media/image462.jpeg"/><Relationship Id="rId461" Type="http://schemas.openxmlformats.org/officeDocument/2006/relationships/image" Target="media/image461.png"/><Relationship Id="rId460" Type="http://schemas.openxmlformats.org/officeDocument/2006/relationships/image" Target="media/image460.png"/><Relationship Id="rId46" Type="http://schemas.openxmlformats.org/officeDocument/2006/relationships/image" Target="media/image47.jpeg"/><Relationship Id="rId459" Type="http://schemas.openxmlformats.org/officeDocument/2006/relationships/image" Target="media/image459.png"/><Relationship Id="rId458" Type="http://schemas.openxmlformats.org/officeDocument/2006/relationships/image" Target="media/image458.png"/><Relationship Id="rId457" Type="http://schemas.openxmlformats.org/officeDocument/2006/relationships/image" Target="media/image457.png"/><Relationship Id="rId456" Type="http://schemas.openxmlformats.org/officeDocument/2006/relationships/image" Target="media/image456.png"/><Relationship Id="rId455" Type="http://schemas.openxmlformats.org/officeDocument/2006/relationships/image" Target="media/image455.png"/><Relationship Id="rId454" Type="http://schemas.openxmlformats.org/officeDocument/2006/relationships/image" Target="media/image454.png"/><Relationship Id="rId453" Type="http://schemas.openxmlformats.org/officeDocument/2006/relationships/image" Target="media/image453.png"/><Relationship Id="rId452" Type="http://schemas.openxmlformats.org/officeDocument/2006/relationships/image" Target="media/image452.png"/><Relationship Id="rId451" Type="http://schemas.openxmlformats.org/officeDocument/2006/relationships/image" Target="media/image451.png"/><Relationship Id="rId450" Type="http://schemas.openxmlformats.org/officeDocument/2006/relationships/image" Target="media/image450.png"/><Relationship Id="rId45" Type="http://schemas.openxmlformats.org/officeDocument/2006/relationships/image" Target="media/image46.jpeg"/><Relationship Id="rId449" Type="http://schemas.openxmlformats.org/officeDocument/2006/relationships/image" Target="media/image449.png"/><Relationship Id="rId448" Type="http://schemas.openxmlformats.org/officeDocument/2006/relationships/image" Target="media/image448.png"/><Relationship Id="rId447" Type="http://schemas.openxmlformats.org/officeDocument/2006/relationships/image" Target="media/image447.jpeg"/><Relationship Id="rId446" Type="http://schemas.openxmlformats.org/officeDocument/2006/relationships/image" Target="media/image446.jpeg"/><Relationship Id="rId445" Type="http://schemas.openxmlformats.org/officeDocument/2006/relationships/image" Target="media/image445.png"/><Relationship Id="rId444" Type="http://schemas.openxmlformats.org/officeDocument/2006/relationships/image" Target="media/image444.png"/><Relationship Id="rId443" Type="http://schemas.openxmlformats.org/officeDocument/2006/relationships/image" Target="media/image443.png"/><Relationship Id="rId442" Type="http://schemas.openxmlformats.org/officeDocument/2006/relationships/image" Target="media/image442.png"/><Relationship Id="rId441" Type="http://schemas.openxmlformats.org/officeDocument/2006/relationships/image" Target="media/image441.png"/><Relationship Id="rId440" Type="http://schemas.openxmlformats.org/officeDocument/2006/relationships/image" Target="media/image440.jpeg"/><Relationship Id="rId44" Type="http://schemas.openxmlformats.org/officeDocument/2006/relationships/image" Target="media/image45.jpeg"/><Relationship Id="rId439" Type="http://schemas.openxmlformats.org/officeDocument/2006/relationships/image" Target="media/image439.png"/><Relationship Id="rId438" Type="http://schemas.openxmlformats.org/officeDocument/2006/relationships/image" Target="media/image438.png"/><Relationship Id="rId437" Type="http://schemas.openxmlformats.org/officeDocument/2006/relationships/image" Target="media/image437.png"/><Relationship Id="rId436" Type="http://schemas.openxmlformats.org/officeDocument/2006/relationships/image" Target="media/image436.png"/><Relationship Id="rId435" Type="http://schemas.openxmlformats.org/officeDocument/2006/relationships/image" Target="media/image435.png"/><Relationship Id="rId434" Type="http://schemas.openxmlformats.org/officeDocument/2006/relationships/image" Target="media/image434.png"/><Relationship Id="rId433" Type="http://schemas.openxmlformats.org/officeDocument/2006/relationships/image" Target="media/image433.png"/><Relationship Id="rId432" Type="http://schemas.openxmlformats.org/officeDocument/2006/relationships/image" Target="media/image432.png"/><Relationship Id="rId431" Type="http://schemas.openxmlformats.org/officeDocument/2006/relationships/image" Target="media/image431.png"/><Relationship Id="rId430" Type="http://schemas.openxmlformats.org/officeDocument/2006/relationships/image" Target="media/image430.jpeg"/><Relationship Id="rId43" Type="http://schemas.openxmlformats.org/officeDocument/2006/relationships/image" Target="media/image44.jpeg"/><Relationship Id="rId429" Type="http://schemas.openxmlformats.org/officeDocument/2006/relationships/image" Target="media/image429.png"/><Relationship Id="rId428" Type="http://schemas.openxmlformats.org/officeDocument/2006/relationships/image" Target="media/image428.jpeg"/><Relationship Id="rId427" Type="http://schemas.openxmlformats.org/officeDocument/2006/relationships/image" Target="media/image427.png"/><Relationship Id="rId426" Type="http://schemas.openxmlformats.org/officeDocument/2006/relationships/image" Target="media/image426.png"/><Relationship Id="rId425" Type="http://schemas.openxmlformats.org/officeDocument/2006/relationships/image" Target="media/image425.png"/><Relationship Id="rId424" Type="http://schemas.openxmlformats.org/officeDocument/2006/relationships/image" Target="media/image424.jpeg"/><Relationship Id="rId423" Type="http://schemas.openxmlformats.org/officeDocument/2006/relationships/image" Target="media/image423.png"/><Relationship Id="rId422" Type="http://schemas.openxmlformats.org/officeDocument/2006/relationships/image" Target="media/image422.jpeg"/><Relationship Id="rId421" Type="http://schemas.openxmlformats.org/officeDocument/2006/relationships/image" Target="media/image421.jpeg"/><Relationship Id="rId420" Type="http://schemas.openxmlformats.org/officeDocument/2006/relationships/image" Target="media/image420.png"/><Relationship Id="rId42" Type="http://schemas.openxmlformats.org/officeDocument/2006/relationships/image" Target="media/image43.jpeg"/><Relationship Id="rId419" Type="http://schemas.openxmlformats.org/officeDocument/2006/relationships/image" Target="media/image419.jpeg"/><Relationship Id="rId418" Type="http://schemas.openxmlformats.org/officeDocument/2006/relationships/image" Target="media/image418.png"/><Relationship Id="rId417" Type="http://schemas.openxmlformats.org/officeDocument/2006/relationships/image" Target="media/image417.png"/><Relationship Id="rId416" Type="http://schemas.openxmlformats.org/officeDocument/2006/relationships/image" Target="media/image416.png"/><Relationship Id="rId415" Type="http://schemas.openxmlformats.org/officeDocument/2006/relationships/image" Target="media/image415.png"/><Relationship Id="rId414" Type="http://schemas.openxmlformats.org/officeDocument/2006/relationships/image" Target="media/image414.jpeg"/><Relationship Id="rId413" Type="http://schemas.openxmlformats.org/officeDocument/2006/relationships/image" Target="media/image413.png"/><Relationship Id="rId412" Type="http://schemas.openxmlformats.org/officeDocument/2006/relationships/image" Target="media/image412.jpeg"/><Relationship Id="rId411" Type="http://schemas.openxmlformats.org/officeDocument/2006/relationships/image" Target="media/image411.jpeg"/><Relationship Id="rId410" Type="http://schemas.openxmlformats.org/officeDocument/2006/relationships/image" Target="media/image410.jpeg"/><Relationship Id="rId41" Type="http://schemas.openxmlformats.org/officeDocument/2006/relationships/image" Target="media/image42.png"/><Relationship Id="rId409" Type="http://schemas.openxmlformats.org/officeDocument/2006/relationships/image" Target="media/image409.jpeg"/><Relationship Id="rId408" Type="http://schemas.openxmlformats.org/officeDocument/2006/relationships/image" Target="media/image408.jpeg"/><Relationship Id="rId407" Type="http://schemas.openxmlformats.org/officeDocument/2006/relationships/image" Target="media/image407.png"/><Relationship Id="rId406" Type="http://schemas.openxmlformats.org/officeDocument/2006/relationships/image" Target="media/image406.png"/><Relationship Id="rId405" Type="http://schemas.openxmlformats.org/officeDocument/2006/relationships/image" Target="media/image405.png"/><Relationship Id="rId404" Type="http://schemas.openxmlformats.org/officeDocument/2006/relationships/image" Target="media/image404.png"/><Relationship Id="rId403" Type="http://schemas.openxmlformats.org/officeDocument/2006/relationships/image" Target="media/image403.png"/><Relationship Id="rId402" Type="http://schemas.openxmlformats.org/officeDocument/2006/relationships/image" Target="media/image402.png"/><Relationship Id="rId401" Type="http://schemas.openxmlformats.org/officeDocument/2006/relationships/image" Target="media/image401.png"/><Relationship Id="rId400" Type="http://schemas.openxmlformats.org/officeDocument/2006/relationships/image" Target="media/image400.png"/><Relationship Id="rId40" Type="http://schemas.openxmlformats.org/officeDocument/2006/relationships/image" Target="media/image41.png"/><Relationship Id="rId4" Type="http://schemas.openxmlformats.org/officeDocument/2006/relationships/image" Target="media/image5.png"/><Relationship Id="rId399" Type="http://schemas.openxmlformats.org/officeDocument/2006/relationships/image" Target="media/image399.png"/><Relationship Id="rId398" Type="http://schemas.openxmlformats.org/officeDocument/2006/relationships/image" Target="media/image398.png"/><Relationship Id="rId397" Type="http://schemas.openxmlformats.org/officeDocument/2006/relationships/image" Target="media/image397.jpeg"/><Relationship Id="rId396" Type="http://schemas.openxmlformats.org/officeDocument/2006/relationships/image" Target="media/image396.jpeg"/><Relationship Id="rId395" Type="http://schemas.openxmlformats.org/officeDocument/2006/relationships/image" Target="media/image395.jpeg"/><Relationship Id="rId394" Type="http://schemas.openxmlformats.org/officeDocument/2006/relationships/image" Target="media/image394.jpeg"/><Relationship Id="rId393" Type="http://schemas.openxmlformats.org/officeDocument/2006/relationships/image" Target="media/image393.jpeg"/><Relationship Id="rId392" Type="http://schemas.openxmlformats.org/officeDocument/2006/relationships/image" Target="media/image392.png"/><Relationship Id="rId391" Type="http://schemas.openxmlformats.org/officeDocument/2006/relationships/image" Target="media/image391.jpeg"/><Relationship Id="rId390" Type="http://schemas.openxmlformats.org/officeDocument/2006/relationships/image" Target="media/image390.jpeg"/><Relationship Id="rId39" Type="http://schemas.openxmlformats.org/officeDocument/2006/relationships/image" Target="media/image40.png"/><Relationship Id="rId389" Type="http://schemas.openxmlformats.org/officeDocument/2006/relationships/image" Target="media/image389.png"/><Relationship Id="rId388" Type="http://schemas.openxmlformats.org/officeDocument/2006/relationships/image" Target="media/image388.jpeg"/><Relationship Id="rId387" Type="http://schemas.openxmlformats.org/officeDocument/2006/relationships/image" Target="media/image387.jpeg"/><Relationship Id="rId386" Type="http://schemas.openxmlformats.org/officeDocument/2006/relationships/image" Target="media/image386.png"/><Relationship Id="rId385" Type="http://schemas.openxmlformats.org/officeDocument/2006/relationships/image" Target="media/image385.jpeg"/><Relationship Id="rId384" Type="http://schemas.openxmlformats.org/officeDocument/2006/relationships/image" Target="media/image384.png"/><Relationship Id="rId383" Type="http://schemas.openxmlformats.org/officeDocument/2006/relationships/image" Target="media/image383.png"/><Relationship Id="rId382" Type="http://schemas.openxmlformats.org/officeDocument/2006/relationships/image" Target="media/image382.png"/><Relationship Id="rId381" Type="http://schemas.openxmlformats.org/officeDocument/2006/relationships/image" Target="media/image381.png"/><Relationship Id="rId380" Type="http://schemas.openxmlformats.org/officeDocument/2006/relationships/image" Target="media/image380.png"/><Relationship Id="rId38" Type="http://schemas.openxmlformats.org/officeDocument/2006/relationships/image" Target="media/image39.jpeg"/><Relationship Id="rId379" Type="http://schemas.openxmlformats.org/officeDocument/2006/relationships/image" Target="media/image379.jpeg"/><Relationship Id="rId378" Type="http://schemas.openxmlformats.org/officeDocument/2006/relationships/image" Target="media/image378.png"/><Relationship Id="rId377" Type="http://schemas.openxmlformats.org/officeDocument/2006/relationships/image" Target="media/image377.png"/><Relationship Id="rId376" Type="http://schemas.openxmlformats.org/officeDocument/2006/relationships/image" Target="media/image376.png"/><Relationship Id="rId375" Type="http://schemas.openxmlformats.org/officeDocument/2006/relationships/image" Target="media/image375.png"/><Relationship Id="rId374" Type="http://schemas.openxmlformats.org/officeDocument/2006/relationships/image" Target="media/image374.png"/><Relationship Id="rId373" Type="http://schemas.openxmlformats.org/officeDocument/2006/relationships/image" Target="media/image373.png"/><Relationship Id="rId372" Type="http://schemas.openxmlformats.org/officeDocument/2006/relationships/image" Target="media/image372.jpeg"/><Relationship Id="rId371" Type="http://schemas.openxmlformats.org/officeDocument/2006/relationships/image" Target="media/image371.jpeg"/><Relationship Id="rId370" Type="http://schemas.openxmlformats.org/officeDocument/2006/relationships/image" Target="media/image370.jpeg"/><Relationship Id="rId37" Type="http://schemas.openxmlformats.org/officeDocument/2006/relationships/image" Target="media/image38.png"/><Relationship Id="rId369" Type="http://schemas.openxmlformats.org/officeDocument/2006/relationships/image" Target="media/image369.jpeg"/><Relationship Id="rId368" Type="http://schemas.openxmlformats.org/officeDocument/2006/relationships/image" Target="media/image368.jpeg"/><Relationship Id="rId367" Type="http://schemas.openxmlformats.org/officeDocument/2006/relationships/image" Target="media/image367.jpeg"/><Relationship Id="rId366" Type="http://schemas.openxmlformats.org/officeDocument/2006/relationships/image" Target="media/image366.jpeg"/><Relationship Id="rId365" Type="http://schemas.openxmlformats.org/officeDocument/2006/relationships/image" Target="media/image365.jpeg"/><Relationship Id="rId364" Type="http://schemas.openxmlformats.org/officeDocument/2006/relationships/image" Target="media/image364.jpeg"/><Relationship Id="rId363" Type="http://schemas.openxmlformats.org/officeDocument/2006/relationships/image" Target="media/image363.jpeg"/><Relationship Id="rId362" Type="http://schemas.openxmlformats.org/officeDocument/2006/relationships/image" Target="media/image362.jpeg"/><Relationship Id="rId361" Type="http://schemas.openxmlformats.org/officeDocument/2006/relationships/image" Target="media/image361.jpeg"/><Relationship Id="rId360" Type="http://schemas.openxmlformats.org/officeDocument/2006/relationships/image" Target="media/image360.jpeg"/><Relationship Id="rId36" Type="http://schemas.openxmlformats.org/officeDocument/2006/relationships/image" Target="media/image37.png"/><Relationship Id="rId359" Type="http://schemas.openxmlformats.org/officeDocument/2006/relationships/image" Target="media/image359.jpeg"/><Relationship Id="rId358" Type="http://schemas.openxmlformats.org/officeDocument/2006/relationships/image" Target="media/image358.jpeg"/><Relationship Id="rId357" Type="http://schemas.openxmlformats.org/officeDocument/2006/relationships/image" Target="media/image357.jpeg"/><Relationship Id="rId356" Type="http://schemas.openxmlformats.org/officeDocument/2006/relationships/image" Target="media/image356.jpeg"/><Relationship Id="rId355" Type="http://schemas.openxmlformats.org/officeDocument/2006/relationships/image" Target="media/image355.jpeg"/><Relationship Id="rId354" Type="http://schemas.openxmlformats.org/officeDocument/2006/relationships/image" Target="media/image354.jpeg"/><Relationship Id="rId353" Type="http://schemas.openxmlformats.org/officeDocument/2006/relationships/image" Target="media/image353.jpeg"/><Relationship Id="rId352" Type="http://schemas.openxmlformats.org/officeDocument/2006/relationships/image" Target="media/image352.jpeg"/><Relationship Id="rId351" Type="http://schemas.openxmlformats.org/officeDocument/2006/relationships/image" Target="media/image351.jpeg"/><Relationship Id="rId350" Type="http://schemas.openxmlformats.org/officeDocument/2006/relationships/image" Target="media/image350.jpeg"/><Relationship Id="rId35" Type="http://schemas.openxmlformats.org/officeDocument/2006/relationships/image" Target="media/image36.jpeg"/><Relationship Id="rId349" Type="http://schemas.openxmlformats.org/officeDocument/2006/relationships/image" Target="media/image349.jpeg"/><Relationship Id="rId348" Type="http://schemas.openxmlformats.org/officeDocument/2006/relationships/image" Target="media/image348.jpeg"/><Relationship Id="rId347" Type="http://schemas.openxmlformats.org/officeDocument/2006/relationships/image" Target="media/image347.jpeg"/><Relationship Id="rId346" Type="http://schemas.openxmlformats.org/officeDocument/2006/relationships/image" Target="media/image346.jpeg"/><Relationship Id="rId345" Type="http://schemas.openxmlformats.org/officeDocument/2006/relationships/image" Target="media/image345.jpeg"/><Relationship Id="rId344" Type="http://schemas.openxmlformats.org/officeDocument/2006/relationships/image" Target="media/image344.png"/><Relationship Id="rId343" Type="http://schemas.openxmlformats.org/officeDocument/2006/relationships/image" Target="media/image343.png"/><Relationship Id="rId342" Type="http://schemas.openxmlformats.org/officeDocument/2006/relationships/image" Target="media/image342.jpeg"/><Relationship Id="rId341" Type="http://schemas.openxmlformats.org/officeDocument/2006/relationships/image" Target="media/image341.jpeg"/><Relationship Id="rId340" Type="http://schemas.openxmlformats.org/officeDocument/2006/relationships/image" Target="media/image340.jpeg"/><Relationship Id="rId34" Type="http://schemas.openxmlformats.org/officeDocument/2006/relationships/image" Target="media/image35.png"/><Relationship Id="rId339" Type="http://schemas.openxmlformats.org/officeDocument/2006/relationships/image" Target="media/image339.png"/><Relationship Id="rId338" Type="http://schemas.openxmlformats.org/officeDocument/2006/relationships/image" Target="media/image338.jpeg"/><Relationship Id="rId337" Type="http://schemas.openxmlformats.org/officeDocument/2006/relationships/image" Target="media/image337.jpeg"/><Relationship Id="rId336" Type="http://schemas.openxmlformats.org/officeDocument/2006/relationships/image" Target="media/image336.jpeg"/><Relationship Id="rId335" Type="http://schemas.openxmlformats.org/officeDocument/2006/relationships/image" Target="media/image335.png"/><Relationship Id="rId334" Type="http://schemas.openxmlformats.org/officeDocument/2006/relationships/image" Target="media/image334.jpeg"/><Relationship Id="rId333" Type="http://schemas.openxmlformats.org/officeDocument/2006/relationships/image" Target="media/image333.png"/><Relationship Id="rId332" Type="http://schemas.openxmlformats.org/officeDocument/2006/relationships/image" Target="media/image332.png"/><Relationship Id="rId331" Type="http://schemas.openxmlformats.org/officeDocument/2006/relationships/image" Target="media/image331.png"/><Relationship Id="rId330" Type="http://schemas.openxmlformats.org/officeDocument/2006/relationships/image" Target="media/image330.png"/><Relationship Id="rId33" Type="http://schemas.openxmlformats.org/officeDocument/2006/relationships/image" Target="media/image34.png"/><Relationship Id="rId329" Type="http://schemas.openxmlformats.org/officeDocument/2006/relationships/image" Target="media/image329.png"/><Relationship Id="rId328" Type="http://schemas.openxmlformats.org/officeDocument/2006/relationships/image" Target="media/image328.png"/><Relationship Id="rId327" Type="http://schemas.openxmlformats.org/officeDocument/2006/relationships/image" Target="media/image327.jpeg"/><Relationship Id="rId326" Type="http://schemas.openxmlformats.org/officeDocument/2006/relationships/image" Target="media/image326.png"/><Relationship Id="rId325" Type="http://schemas.openxmlformats.org/officeDocument/2006/relationships/image" Target="media/image325.png"/><Relationship Id="rId324" Type="http://schemas.openxmlformats.org/officeDocument/2006/relationships/image" Target="media/image324.jpeg"/><Relationship Id="rId323" Type="http://schemas.openxmlformats.org/officeDocument/2006/relationships/image" Target="media/image323.png"/><Relationship Id="rId322" Type="http://schemas.openxmlformats.org/officeDocument/2006/relationships/image" Target="media/image322.png"/><Relationship Id="rId321" Type="http://schemas.openxmlformats.org/officeDocument/2006/relationships/image" Target="media/image321.jpeg"/><Relationship Id="rId320" Type="http://schemas.openxmlformats.org/officeDocument/2006/relationships/image" Target="media/image320.png"/><Relationship Id="rId32" Type="http://schemas.openxmlformats.org/officeDocument/2006/relationships/image" Target="media/image33.jpeg"/><Relationship Id="rId319" Type="http://schemas.openxmlformats.org/officeDocument/2006/relationships/image" Target="media/image319.png"/><Relationship Id="rId318" Type="http://schemas.openxmlformats.org/officeDocument/2006/relationships/image" Target="media/image318.png"/><Relationship Id="rId317" Type="http://schemas.openxmlformats.org/officeDocument/2006/relationships/image" Target="media/image317.jpeg"/><Relationship Id="rId316" Type="http://schemas.openxmlformats.org/officeDocument/2006/relationships/image" Target="media/image316.jpeg"/><Relationship Id="rId315" Type="http://schemas.openxmlformats.org/officeDocument/2006/relationships/image" Target="media/image315.jpeg"/><Relationship Id="rId314" Type="http://schemas.openxmlformats.org/officeDocument/2006/relationships/image" Target="media/image314.png"/><Relationship Id="rId313" Type="http://schemas.openxmlformats.org/officeDocument/2006/relationships/image" Target="media/image313.png"/><Relationship Id="rId312" Type="http://schemas.openxmlformats.org/officeDocument/2006/relationships/image" Target="media/image312.png"/><Relationship Id="rId311" Type="http://schemas.openxmlformats.org/officeDocument/2006/relationships/image" Target="media/image311.png"/><Relationship Id="rId310" Type="http://schemas.openxmlformats.org/officeDocument/2006/relationships/image" Target="media/image310.jpeg"/><Relationship Id="rId31" Type="http://schemas.openxmlformats.org/officeDocument/2006/relationships/image" Target="media/image32.png"/><Relationship Id="rId309" Type="http://schemas.openxmlformats.org/officeDocument/2006/relationships/image" Target="media/image309.png"/><Relationship Id="rId308" Type="http://schemas.openxmlformats.org/officeDocument/2006/relationships/image" Target="media/image308.png"/><Relationship Id="rId307" Type="http://schemas.openxmlformats.org/officeDocument/2006/relationships/image" Target="media/image307.png"/><Relationship Id="rId306" Type="http://schemas.openxmlformats.org/officeDocument/2006/relationships/image" Target="media/image306.png"/><Relationship Id="rId305" Type="http://schemas.openxmlformats.org/officeDocument/2006/relationships/image" Target="media/image305.png"/><Relationship Id="rId304" Type="http://schemas.openxmlformats.org/officeDocument/2006/relationships/image" Target="media/image304.png"/><Relationship Id="rId303" Type="http://schemas.openxmlformats.org/officeDocument/2006/relationships/image" Target="media/image303.png"/><Relationship Id="rId302" Type="http://schemas.openxmlformats.org/officeDocument/2006/relationships/image" Target="media/image302.png"/><Relationship Id="rId301" Type="http://schemas.openxmlformats.org/officeDocument/2006/relationships/image" Target="media/image301.png"/><Relationship Id="rId300" Type="http://schemas.openxmlformats.org/officeDocument/2006/relationships/image" Target="media/image300.png"/><Relationship Id="rId30" Type="http://schemas.openxmlformats.org/officeDocument/2006/relationships/image" Target="media/image31.jpeg"/><Relationship Id="rId3" Type="http://schemas.openxmlformats.org/officeDocument/2006/relationships/image" Target="media/image4.png"/><Relationship Id="rId299" Type="http://schemas.openxmlformats.org/officeDocument/2006/relationships/image" Target="media/image299.png"/><Relationship Id="rId298" Type="http://schemas.openxmlformats.org/officeDocument/2006/relationships/image" Target="media/image298.png"/><Relationship Id="rId297" Type="http://schemas.openxmlformats.org/officeDocument/2006/relationships/image" Target="media/image297.png"/><Relationship Id="rId296" Type="http://schemas.openxmlformats.org/officeDocument/2006/relationships/image" Target="media/image296.png"/><Relationship Id="rId295" Type="http://schemas.openxmlformats.org/officeDocument/2006/relationships/image" Target="media/image295.jpeg"/><Relationship Id="rId294" Type="http://schemas.openxmlformats.org/officeDocument/2006/relationships/image" Target="media/image294.jpeg"/><Relationship Id="rId293" Type="http://schemas.openxmlformats.org/officeDocument/2006/relationships/image" Target="media/image293.png"/><Relationship Id="rId292" Type="http://schemas.openxmlformats.org/officeDocument/2006/relationships/image" Target="media/image292.jpeg"/><Relationship Id="rId291" Type="http://schemas.openxmlformats.org/officeDocument/2006/relationships/image" Target="media/image291.png"/><Relationship Id="rId290" Type="http://schemas.openxmlformats.org/officeDocument/2006/relationships/image" Target="media/image290.png"/><Relationship Id="rId29" Type="http://schemas.openxmlformats.org/officeDocument/2006/relationships/image" Target="media/image30.png"/><Relationship Id="rId289" Type="http://schemas.openxmlformats.org/officeDocument/2006/relationships/image" Target="media/image289.png"/><Relationship Id="rId288" Type="http://schemas.openxmlformats.org/officeDocument/2006/relationships/image" Target="media/image288.jpeg"/><Relationship Id="rId287" Type="http://schemas.openxmlformats.org/officeDocument/2006/relationships/image" Target="media/image287.jpeg"/><Relationship Id="rId286" Type="http://schemas.openxmlformats.org/officeDocument/2006/relationships/image" Target="media/image286.jpeg"/><Relationship Id="rId285" Type="http://schemas.openxmlformats.org/officeDocument/2006/relationships/image" Target="media/image285.jpeg"/><Relationship Id="rId284" Type="http://schemas.openxmlformats.org/officeDocument/2006/relationships/image" Target="media/image284.jpeg"/><Relationship Id="rId283" Type="http://schemas.openxmlformats.org/officeDocument/2006/relationships/image" Target="media/image283.png"/><Relationship Id="rId282" Type="http://schemas.openxmlformats.org/officeDocument/2006/relationships/image" Target="media/image282.jpeg"/><Relationship Id="rId281" Type="http://schemas.openxmlformats.org/officeDocument/2006/relationships/image" Target="media/image281.png"/><Relationship Id="rId280" Type="http://schemas.openxmlformats.org/officeDocument/2006/relationships/image" Target="media/image280.jpeg"/><Relationship Id="rId28" Type="http://schemas.openxmlformats.org/officeDocument/2006/relationships/image" Target="media/image29.png"/><Relationship Id="rId279" Type="http://schemas.openxmlformats.org/officeDocument/2006/relationships/image" Target="media/image279.jpeg"/><Relationship Id="rId278" Type="http://schemas.openxmlformats.org/officeDocument/2006/relationships/image" Target="media/image278.jpeg"/><Relationship Id="rId277" Type="http://schemas.openxmlformats.org/officeDocument/2006/relationships/image" Target="media/image277.png"/><Relationship Id="rId276" Type="http://schemas.openxmlformats.org/officeDocument/2006/relationships/image" Target="media/image276.png"/><Relationship Id="rId275" Type="http://schemas.openxmlformats.org/officeDocument/2006/relationships/image" Target="media/image275.png"/><Relationship Id="rId274" Type="http://schemas.openxmlformats.org/officeDocument/2006/relationships/image" Target="media/image274.png"/><Relationship Id="rId273" Type="http://schemas.openxmlformats.org/officeDocument/2006/relationships/image" Target="media/image273.png"/><Relationship Id="rId272" Type="http://schemas.openxmlformats.org/officeDocument/2006/relationships/image" Target="media/image272.png"/><Relationship Id="rId271" Type="http://schemas.openxmlformats.org/officeDocument/2006/relationships/image" Target="media/image271.png"/><Relationship Id="rId270" Type="http://schemas.openxmlformats.org/officeDocument/2006/relationships/image" Target="media/image270.png"/><Relationship Id="rId27" Type="http://schemas.openxmlformats.org/officeDocument/2006/relationships/image" Target="media/image28.jpeg"/><Relationship Id="rId269" Type="http://schemas.openxmlformats.org/officeDocument/2006/relationships/image" Target="media/image269.png"/><Relationship Id="rId268" Type="http://schemas.openxmlformats.org/officeDocument/2006/relationships/image" Target="media/image268.png"/><Relationship Id="rId267" Type="http://schemas.openxmlformats.org/officeDocument/2006/relationships/image" Target="media/image267.jpeg"/><Relationship Id="rId266" Type="http://schemas.openxmlformats.org/officeDocument/2006/relationships/image" Target="media/image266.jpeg"/><Relationship Id="rId265" Type="http://schemas.openxmlformats.org/officeDocument/2006/relationships/image" Target="media/image265.jpeg"/><Relationship Id="rId264" Type="http://schemas.openxmlformats.org/officeDocument/2006/relationships/image" Target="media/image264.png"/><Relationship Id="rId263" Type="http://schemas.openxmlformats.org/officeDocument/2006/relationships/image" Target="media/image263.jpeg"/><Relationship Id="rId262" Type="http://schemas.openxmlformats.org/officeDocument/2006/relationships/image" Target="media/image262.jpeg"/><Relationship Id="rId261" Type="http://schemas.openxmlformats.org/officeDocument/2006/relationships/image" Target="media/image261.jpeg"/><Relationship Id="rId260" Type="http://schemas.openxmlformats.org/officeDocument/2006/relationships/image" Target="media/image260.png"/><Relationship Id="rId26" Type="http://schemas.openxmlformats.org/officeDocument/2006/relationships/image" Target="media/image27.png"/><Relationship Id="rId259" Type="http://schemas.openxmlformats.org/officeDocument/2006/relationships/image" Target="media/image259.jpeg"/><Relationship Id="rId258" Type="http://schemas.openxmlformats.org/officeDocument/2006/relationships/image" Target="media/image258.png"/><Relationship Id="rId257" Type="http://schemas.openxmlformats.org/officeDocument/2006/relationships/image" Target="media/image257.jpeg"/><Relationship Id="rId256" Type="http://schemas.openxmlformats.org/officeDocument/2006/relationships/image" Target="media/image256.jpeg"/><Relationship Id="rId255" Type="http://schemas.openxmlformats.org/officeDocument/2006/relationships/image" Target="media/image255.jpeg"/><Relationship Id="rId254" Type="http://schemas.openxmlformats.org/officeDocument/2006/relationships/image" Target="media/image254.jpeg"/><Relationship Id="rId253" Type="http://schemas.openxmlformats.org/officeDocument/2006/relationships/image" Target="media/image253.jpeg"/><Relationship Id="rId252" Type="http://schemas.openxmlformats.org/officeDocument/2006/relationships/image" Target="media/image252.png"/><Relationship Id="rId251" Type="http://schemas.openxmlformats.org/officeDocument/2006/relationships/image" Target="media/image251.jpeg"/><Relationship Id="rId250" Type="http://schemas.openxmlformats.org/officeDocument/2006/relationships/image" Target="media/image250.jpeg"/><Relationship Id="rId25" Type="http://schemas.openxmlformats.org/officeDocument/2006/relationships/image" Target="media/image26.png"/><Relationship Id="rId249" Type="http://schemas.openxmlformats.org/officeDocument/2006/relationships/image" Target="media/image249.png"/><Relationship Id="rId248" Type="http://schemas.openxmlformats.org/officeDocument/2006/relationships/image" Target="media/image248.jpeg"/><Relationship Id="rId247" Type="http://schemas.openxmlformats.org/officeDocument/2006/relationships/image" Target="media/image247.jpeg"/><Relationship Id="rId246" Type="http://schemas.openxmlformats.org/officeDocument/2006/relationships/image" Target="media/image246.jpeg"/><Relationship Id="rId245" Type="http://schemas.openxmlformats.org/officeDocument/2006/relationships/image" Target="media/image245.jpeg"/><Relationship Id="rId244" Type="http://schemas.openxmlformats.org/officeDocument/2006/relationships/image" Target="media/image244.jpeg"/><Relationship Id="rId243" Type="http://schemas.openxmlformats.org/officeDocument/2006/relationships/image" Target="media/image243.jpeg"/><Relationship Id="rId242" Type="http://schemas.openxmlformats.org/officeDocument/2006/relationships/image" Target="media/image242.png"/><Relationship Id="rId241" Type="http://schemas.openxmlformats.org/officeDocument/2006/relationships/image" Target="media/image241.png"/><Relationship Id="rId240" Type="http://schemas.openxmlformats.org/officeDocument/2006/relationships/image" Target="media/image240.jpeg"/><Relationship Id="rId24" Type="http://schemas.openxmlformats.org/officeDocument/2006/relationships/image" Target="media/image25.png"/><Relationship Id="rId239" Type="http://schemas.openxmlformats.org/officeDocument/2006/relationships/image" Target="media/image239.png"/><Relationship Id="rId238" Type="http://schemas.openxmlformats.org/officeDocument/2006/relationships/image" Target="media/image238.png"/><Relationship Id="rId237" Type="http://schemas.openxmlformats.org/officeDocument/2006/relationships/image" Target="media/image237.png"/><Relationship Id="rId236" Type="http://schemas.openxmlformats.org/officeDocument/2006/relationships/image" Target="media/image236.png"/><Relationship Id="rId235" Type="http://schemas.openxmlformats.org/officeDocument/2006/relationships/image" Target="media/image235.png"/><Relationship Id="rId234" Type="http://schemas.openxmlformats.org/officeDocument/2006/relationships/image" Target="media/image234.jpeg"/><Relationship Id="rId233" Type="http://schemas.openxmlformats.org/officeDocument/2006/relationships/image" Target="media/image233.png"/><Relationship Id="rId232" Type="http://schemas.openxmlformats.org/officeDocument/2006/relationships/image" Target="media/image232.png"/><Relationship Id="rId231" Type="http://schemas.openxmlformats.org/officeDocument/2006/relationships/image" Target="media/image231.jpeg"/><Relationship Id="rId230" Type="http://schemas.openxmlformats.org/officeDocument/2006/relationships/image" Target="media/image230.png"/><Relationship Id="rId23" Type="http://schemas.openxmlformats.org/officeDocument/2006/relationships/image" Target="media/image24.png"/><Relationship Id="rId229" Type="http://schemas.openxmlformats.org/officeDocument/2006/relationships/image" Target="media/image229.png"/><Relationship Id="rId228" Type="http://schemas.openxmlformats.org/officeDocument/2006/relationships/image" Target="media/image228.png"/><Relationship Id="rId227" Type="http://schemas.openxmlformats.org/officeDocument/2006/relationships/image" Target="media/image227.jpeg"/><Relationship Id="rId226" Type="http://schemas.openxmlformats.org/officeDocument/2006/relationships/image" Target="media/image226.jpeg"/><Relationship Id="rId225" Type="http://schemas.openxmlformats.org/officeDocument/2006/relationships/image" Target="media/image225.png"/><Relationship Id="rId224" Type="http://schemas.openxmlformats.org/officeDocument/2006/relationships/image" Target="media/image224.png"/><Relationship Id="rId223" Type="http://schemas.openxmlformats.org/officeDocument/2006/relationships/image" Target="media/image223.png"/><Relationship Id="rId222" Type="http://schemas.openxmlformats.org/officeDocument/2006/relationships/image" Target="media/image222.png"/><Relationship Id="rId221" Type="http://schemas.openxmlformats.org/officeDocument/2006/relationships/image" Target="media/image221.png"/><Relationship Id="rId220" Type="http://schemas.openxmlformats.org/officeDocument/2006/relationships/image" Target="media/image220.png"/><Relationship Id="rId22" Type="http://schemas.openxmlformats.org/officeDocument/2006/relationships/image" Target="media/image23.png"/><Relationship Id="rId219" Type="http://schemas.openxmlformats.org/officeDocument/2006/relationships/image" Target="media/image219.png"/><Relationship Id="rId218" Type="http://schemas.openxmlformats.org/officeDocument/2006/relationships/image" Target="media/image218.png"/><Relationship Id="rId217" Type="http://schemas.openxmlformats.org/officeDocument/2006/relationships/image" Target="media/image217.png"/><Relationship Id="rId216" Type="http://schemas.openxmlformats.org/officeDocument/2006/relationships/image" Target="media/image216.png"/><Relationship Id="rId215" Type="http://schemas.openxmlformats.org/officeDocument/2006/relationships/image" Target="media/image215.png"/><Relationship Id="rId214" Type="http://schemas.openxmlformats.org/officeDocument/2006/relationships/image" Target="media/image214.png"/><Relationship Id="rId213" Type="http://schemas.openxmlformats.org/officeDocument/2006/relationships/image" Target="media/image213.png"/><Relationship Id="rId212" Type="http://schemas.openxmlformats.org/officeDocument/2006/relationships/image" Target="media/image212.png"/><Relationship Id="rId211" Type="http://schemas.openxmlformats.org/officeDocument/2006/relationships/image" Target="media/image211.png"/><Relationship Id="rId210" Type="http://schemas.openxmlformats.org/officeDocument/2006/relationships/image" Target="media/image210.jpeg"/><Relationship Id="rId21" Type="http://schemas.openxmlformats.org/officeDocument/2006/relationships/image" Target="media/image22.png"/><Relationship Id="rId209" Type="http://schemas.openxmlformats.org/officeDocument/2006/relationships/image" Target="media/image209.png"/><Relationship Id="rId208" Type="http://schemas.openxmlformats.org/officeDocument/2006/relationships/image" Target="media/image208.jpeg"/><Relationship Id="rId207" Type="http://schemas.openxmlformats.org/officeDocument/2006/relationships/image" Target="media/image207.png"/><Relationship Id="rId206" Type="http://schemas.openxmlformats.org/officeDocument/2006/relationships/image" Target="media/image206.png"/><Relationship Id="rId205" Type="http://schemas.openxmlformats.org/officeDocument/2006/relationships/image" Target="media/image205.jpeg"/><Relationship Id="rId204" Type="http://schemas.openxmlformats.org/officeDocument/2006/relationships/image" Target="media/image204.png"/><Relationship Id="rId203" Type="http://schemas.openxmlformats.org/officeDocument/2006/relationships/image" Target="media/image203.png"/><Relationship Id="rId202" Type="http://schemas.openxmlformats.org/officeDocument/2006/relationships/image" Target="media/image202.png"/><Relationship Id="rId201" Type="http://schemas.openxmlformats.org/officeDocument/2006/relationships/image" Target="media/image201.png"/><Relationship Id="rId200" Type="http://schemas.openxmlformats.org/officeDocument/2006/relationships/image" Target="media/image200.png"/><Relationship Id="rId20" Type="http://schemas.openxmlformats.org/officeDocument/2006/relationships/image" Target="media/image21.png"/><Relationship Id="rId2" Type="http://schemas.openxmlformats.org/officeDocument/2006/relationships/image" Target="media/image3.png"/><Relationship Id="rId199" Type="http://schemas.openxmlformats.org/officeDocument/2006/relationships/image" Target="media/image199.jpeg"/><Relationship Id="rId198" Type="http://schemas.openxmlformats.org/officeDocument/2006/relationships/image" Target="media/image198.jpeg"/><Relationship Id="rId197" Type="http://schemas.openxmlformats.org/officeDocument/2006/relationships/image" Target="media/image197.png"/><Relationship Id="rId196" Type="http://schemas.openxmlformats.org/officeDocument/2006/relationships/image" Target="media/image196.png"/><Relationship Id="rId195" Type="http://schemas.openxmlformats.org/officeDocument/2006/relationships/image" Target="media/image195.png"/><Relationship Id="rId194" Type="http://schemas.openxmlformats.org/officeDocument/2006/relationships/image" Target="media/image194.png"/><Relationship Id="rId193" Type="http://schemas.openxmlformats.org/officeDocument/2006/relationships/image" Target="media/image193.png"/><Relationship Id="rId192" Type="http://schemas.openxmlformats.org/officeDocument/2006/relationships/image" Target="media/image192.png"/><Relationship Id="rId191" Type="http://schemas.openxmlformats.org/officeDocument/2006/relationships/image" Target="media/image191.png"/><Relationship Id="rId190" Type="http://schemas.openxmlformats.org/officeDocument/2006/relationships/image" Target="media/image190.png"/><Relationship Id="rId19" Type="http://schemas.openxmlformats.org/officeDocument/2006/relationships/image" Target="media/image20.png"/><Relationship Id="rId189" Type="http://schemas.openxmlformats.org/officeDocument/2006/relationships/image" Target="media/image189.png"/><Relationship Id="rId188" Type="http://schemas.openxmlformats.org/officeDocument/2006/relationships/image" Target="media/image188.png"/><Relationship Id="rId187" Type="http://schemas.openxmlformats.org/officeDocument/2006/relationships/image" Target="media/image187.png"/><Relationship Id="rId186" Type="http://schemas.openxmlformats.org/officeDocument/2006/relationships/image" Target="media/image186.png"/><Relationship Id="rId185" Type="http://schemas.openxmlformats.org/officeDocument/2006/relationships/image" Target="media/image185.jpeg"/><Relationship Id="rId184" Type="http://schemas.openxmlformats.org/officeDocument/2006/relationships/image" Target="media/image184.png"/><Relationship Id="rId183" Type="http://schemas.openxmlformats.org/officeDocument/2006/relationships/image" Target="media/image183.png"/><Relationship Id="rId182" Type="http://schemas.openxmlformats.org/officeDocument/2006/relationships/image" Target="media/image182.png"/><Relationship Id="rId181" Type="http://schemas.openxmlformats.org/officeDocument/2006/relationships/image" Target="media/image181.png"/><Relationship Id="rId180" Type="http://schemas.openxmlformats.org/officeDocument/2006/relationships/image" Target="media/image180.png"/><Relationship Id="rId18" Type="http://schemas.openxmlformats.org/officeDocument/2006/relationships/image" Target="media/image19.png"/><Relationship Id="rId179" Type="http://schemas.openxmlformats.org/officeDocument/2006/relationships/image" Target="media/image179.png"/><Relationship Id="rId178" Type="http://schemas.openxmlformats.org/officeDocument/2006/relationships/image" Target="media/image178.png"/><Relationship Id="rId177" Type="http://schemas.openxmlformats.org/officeDocument/2006/relationships/image" Target="media/image177.png"/><Relationship Id="rId176" Type="http://schemas.openxmlformats.org/officeDocument/2006/relationships/image" Target="media/image176.png"/><Relationship Id="rId175" Type="http://schemas.openxmlformats.org/officeDocument/2006/relationships/image" Target="media/image175.png"/><Relationship Id="rId174" Type="http://schemas.openxmlformats.org/officeDocument/2006/relationships/image" Target="media/image174.png"/><Relationship Id="rId173" Type="http://schemas.openxmlformats.org/officeDocument/2006/relationships/image" Target="media/image173.png"/><Relationship Id="rId172" Type="http://schemas.openxmlformats.org/officeDocument/2006/relationships/image" Target="media/image172.png"/><Relationship Id="rId171" Type="http://schemas.openxmlformats.org/officeDocument/2006/relationships/image" Target="media/image171.png"/><Relationship Id="rId170" Type="http://schemas.openxmlformats.org/officeDocument/2006/relationships/image" Target="media/image170.png"/><Relationship Id="rId17" Type="http://schemas.openxmlformats.org/officeDocument/2006/relationships/image" Target="media/image18.jpeg"/><Relationship Id="rId169" Type="http://schemas.openxmlformats.org/officeDocument/2006/relationships/image" Target="media/image169.jpeg"/><Relationship Id="rId168" Type="http://schemas.openxmlformats.org/officeDocument/2006/relationships/image" Target="media/image168.png"/><Relationship Id="rId167" Type="http://schemas.openxmlformats.org/officeDocument/2006/relationships/image" Target="media/image167.png"/><Relationship Id="rId166" Type="http://schemas.openxmlformats.org/officeDocument/2006/relationships/image" Target="media/image166.png"/><Relationship Id="rId165" Type="http://schemas.openxmlformats.org/officeDocument/2006/relationships/image" Target="media/image165.png"/><Relationship Id="rId164" Type="http://schemas.openxmlformats.org/officeDocument/2006/relationships/image" Target="media/image164.png"/><Relationship Id="rId163" Type="http://schemas.openxmlformats.org/officeDocument/2006/relationships/image" Target="media/image163.png"/><Relationship Id="rId162" Type="http://schemas.openxmlformats.org/officeDocument/2006/relationships/image" Target="media/image162.png"/><Relationship Id="rId161" Type="http://schemas.openxmlformats.org/officeDocument/2006/relationships/image" Target="media/image161.png"/><Relationship Id="rId160" Type="http://schemas.openxmlformats.org/officeDocument/2006/relationships/image" Target="media/image160.png"/><Relationship Id="rId16" Type="http://schemas.openxmlformats.org/officeDocument/2006/relationships/image" Target="media/image17.png"/><Relationship Id="rId159" Type="http://schemas.openxmlformats.org/officeDocument/2006/relationships/image" Target="media/image159.jpeg"/><Relationship Id="rId158" Type="http://schemas.openxmlformats.org/officeDocument/2006/relationships/image" Target="media/image158.png"/><Relationship Id="rId157" Type="http://schemas.openxmlformats.org/officeDocument/2006/relationships/image" Target="media/image157.png"/><Relationship Id="rId156" Type="http://schemas.openxmlformats.org/officeDocument/2006/relationships/image" Target="media/image156.png"/><Relationship Id="rId155" Type="http://schemas.openxmlformats.org/officeDocument/2006/relationships/image" Target="media/image155.png"/><Relationship Id="rId154" Type="http://schemas.openxmlformats.org/officeDocument/2006/relationships/image" Target="media/image154.png"/><Relationship Id="rId153" Type="http://schemas.openxmlformats.org/officeDocument/2006/relationships/image" Target="media/image153.png"/><Relationship Id="rId152" Type="http://schemas.openxmlformats.org/officeDocument/2006/relationships/image" Target="media/image152.png"/><Relationship Id="rId151" Type="http://schemas.openxmlformats.org/officeDocument/2006/relationships/image" Target="media/image151.png"/><Relationship Id="rId150" Type="http://schemas.openxmlformats.org/officeDocument/2006/relationships/image" Target="media/image150.png"/><Relationship Id="rId15" Type="http://schemas.openxmlformats.org/officeDocument/2006/relationships/image" Target="media/image16.png"/><Relationship Id="rId149" Type="http://schemas.openxmlformats.org/officeDocument/2006/relationships/image" Target="media/image149.png"/><Relationship Id="rId148" Type="http://schemas.openxmlformats.org/officeDocument/2006/relationships/image" Target="media/image148.png"/><Relationship Id="rId147" Type="http://schemas.openxmlformats.org/officeDocument/2006/relationships/image" Target="media/image147.png"/><Relationship Id="rId146" Type="http://schemas.openxmlformats.org/officeDocument/2006/relationships/image" Target="media/image146.png"/><Relationship Id="rId145" Type="http://schemas.openxmlformats.org/officeDocument/2006/relationships/image" Target="media/image145.png"/><Relationship Id="rId144" Type="http://schemas.openxmlformats.org/officeDocument/2006/relationships/image" Target="media/image144.png"/><Relationship Id="rId143" Type="http://schemas.openxmlformats.org/officeDocument/2006/relationships/image" Target="media/image143.png"/><Relationship Id="rId142" Type="http://schemas.openxmlformats.org/officeDocument/2006/relationships/image" Target="media/image142.png"/><Relationship Id="rId141" Type="http://schemas.openxmlformats.org/officeDocument/2006/relationships/image" Target="media/image141.png"/><Relationship Id="rId140" Type="http://schemas.openxmlformats.org/officeDocument/2006/relationships/image" Target="media/image140.jpeg"/><Relationship Id="rId14" Type="http://schemas.openxmlformats.org/officeDocument/2006/relationships/image" Target="media/image15.png"/><Relationship Id="rId139" Type="http://schemas.openxmlformats.org/officeDocument/2006/relationships/image" Target="media/image139.png"/><Relationship Id="rId138" Type="http://schemas.openxmlformats.org/officeDocument/2006/relationships/image" Target="media/image138.png"/><Relationship Id="rId137" Type="http://schemas.openxmlformats.org/officeDocument/2006/relationships/image" Target="media/image137.png"/><Relationship Id="rId136" Type="http://schemas.openxmlformats.org/officeDocument/2006/relationships/image" Target="media/image136.png"/><Relationship Id="rId135" Type="http://schemas.openxmlformats.org/officeDocument/2006/relationships/image" Target="media/image135.jpeg"/><Relationship Id="rId134" Type="http://schemas.openxmlformats.org/officeDocument/2006/relationships/image" Target="media/image134.jpeg"/><Relationship Id="rId133" Type="http://schemas.openxmlformats.org/officeDocument/2006/relationships/image" Target="media/image133.png"/><Relationship Id="rId132" Type="http://schemas.openxmlformats.org/officeDocument/2006/relationships/image" Target="media/image132.png"/><Relationship Id="rId131" Type="http://schemas.openxmlformats.org/officeDocument/2006/relationships/image" Target="media/image131.jpeg"/><Relationship Id="rId130" Type="http://schemas.openxmlformats.org/officeDocument/2006/relationships/image" Target="media/image130.png"/><Relationship Id="rId13" Type="http://schemas.openxmlformats.org/officeDocument/2006/relationships/image" Target="media/image14.png"/><Relationship Id="rId129" Type="http://schemas.openxmlformats.org/officeDocument/2006/relationships/image" Target="media/image129.png"/><Relationship Id="rId128" Type="http://schemas.openxmlformats.org/officeDocument/2006/relationships/image" Target="media/image128.jpeg"/><Relationship Id="rId127" Type="http://schemas.openxmlformats.org/officeDocument/2006/relationships/image" Target="media/image127.jpeg"/><Relationship Id="rId126" Type="http://schemas.openxmlformats.org/officeDocument/2006/relationships/image" Target="media/image126.png"/><Relationship Id="rId125" Type="http://schemas.openxmlformats.org/officeDocument/2006/relationships/image" Target="media/image125.png"/><Relationship Id="rId124" Type="http://schemas.openxmlformats.org/officeDocument/2006/relationships/image" Target="media/image124.png"/><Relationship Id="rId123" Type="http://schemas.openxmlformats.org/officeDocument/2006/relationships/image" Target="media/image123.png"/><Relationship Id="rId122" Type="http://schemas.openxmlformats.org/officeDocument/2006/relationships/image" Target="media/image122.png"/><Relationship Id="rId121" Type="http://schemas.openxmlformats.org/officeDocument/2006/relationships/image" Target="media/image121.jpeg"/><Relationship Id="rId120" Type="http://schemas.openxmlformats.org/officeDocument/2006/relationships/image" Target="media/image120.jpeg"/><Relationship Id="rId12" Type="http://schemas.openxmlformats.org/officeDocument/2006/relationships/image" Target="media/image13.png"/><Relationship Id="rId119" Type="http://schemas.openxmlformats.org/officeDocument/2006/relationships/image" Target="media/image119.png"/><Relationship Id="rId118" Type="http://schemas.openxmlformats.org/officeDocument/2006/relationships/image" Target="media/image118.png"/><Relationship Id="rId117" Type="http://schemas.openxmlformats.org/officeDocument/2006/relationships/image" Target="media/image117.png"/><Relationship Id="rId116" Type="http://schemas.openxmlformats.org/officeDocument/2006/relationships/image" Target="media/image116.png"/><Relationship Id="rId115" Type="http://schemas.openxmlformats.org/officeDocument/2006/relationships/image" Target="media/image115.jpeg"/><Relationship Id="rId114" Type="http://schemas.openxmlformats.org/officeDocument/2006/relationships/image" Target="media/image114.png"/><Relationship Id="rId113" Type="http://schemas.openxmlformats.org/officeDocument/2006/relationships/image" Target="media/image113.png"/><Relationship Id="rId112" Type="http://schemas.openxmlformats.org/officeDocument/2006/relationships/image" Target="NULL" TargetMode="External"/><Relationship Id="rId111" Type="http://schemas.openxmlformats.org/officeDocument/2006/relationships/image" Target="media/image112.png"/><Relationship Id="rId110" Type="http://schemas.openxmlformats.org/officeDocument/2006/relationships/image" Target="media/image111.png"/><Relationship Id="rId11" Type="http://schemas.openxmlformats.org/officeDocument/2006/relationships/image" Target="media/image12.png"/><Relationship Id="rId109" Type="http://schemas.openxmlformats.org/officeDocument/2006/relationships/image" Target="media/image110.jpeg"/><Relationship Id="rId108" Type="http://schemas.openxmlformats.org/officeDocument/2006/relationships/image" Target="media/image109.png"/><Relationship Id="rId107" Type="http://schemas.openxmlformats.org/officeDocument/2006/relationships/image" Target="media/image108.png"/><Relationship Id="rId106" Type="http://schemas.openxmlformats.org/officeDocument/2006/relationships/image" Target="media/image107.jpeg"/><Relationship Id="rId105" Type="http://schemas.openxmlformats.org/officeDocument/2006/relationships/image" Target="media/image106.png"/><Relationship Id="rId104" Type="http://schemas.openxmlformats.org/officeDocument/2006/relationships/image" Target="media/image105.png"/><Relationship Id="rId103" Type="http://schemas.openxmlformats.org/officeDocument/2006/relationships/image" Target="media/image104.png"/><Relationship Id="rId102" Type="http://schemas.openxmlformats.org/officeDocument/2006/relationships/image" Target="media/image103.png"/><Relationship Id="rId101" Type="http://schemas.openxmlformats.org/officeDocument/2006/relationships/image" Target="media/image102.png"/><Relationship Id="rId100" Type="http://schemas.openxmlformats.org/officeDocument/2006/relationships/image" Target="media/image101.png"/><Relationship Id="rId10" Type="http://schemas.openxmlformats.org/officeDocument/2006/relationships/image" Target="media/image11.png"/><Relationship Id="rId1" Type="http://schemas.openxmlformats.org/officeDocument/2006/relationships/image" Target="media/image2.png"/></Relationships>
</file>

<file path=xl/_rels/workbook.xml.rels><?xml version="1.0" encoding="UTF-8" standalone="yes"?>
<Relationships xmlns="http://schemas.openxmlformats.org/package/2006/relationships"><Relationship Id="rId5" Type="http://schemas.openxmlformats.org/officeDocument/2006/relationships/styles" Target="styles.xml"/><Relationship Id="rId4" Type="http://www.wps.cn/officeDocument/2020/cellImage" Target="cellimag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5</xdr:col>
      <xdr:colOff>309562</xdr:colOff>
      <xdr:row>176</xdr:row>
      <xdr:rowOff>76199</xdr:rowOff>
    </xdr:from>
    <xdr:to>
      <xdr:col>5</xdr:col>
      <xdr:colOff>929322</xdr:colOff>
      <xdr:row>177</xdr:row>
      <xdr:rowOff>173354</xdr:rowOff>
    </xdr:to>
    <xdr:pic>
      <xdr:nvPicPr>
        <xdr:cNvPr id="2" name="图片 1" descr="微信图片_20250407095524"/>
        <xdr:cNvPicPr>
          <a:picLocks noChangeAspect="1"/>
        </xdr:cNvPicPr>
      </xdr:nvPicPr>
      <xdr:blipFill>
        <a:blip r:embed="rId1"/>
        <a:stretch>
          <a:fillRect/>
        </a:stretch>
      </xdr:blipFill>
      <xdr:spPr>
        <a:xfrm>
          <a:off x="4908550" y="126507240"/>
          <a:ext cx="619760" cy="821055"/>
        </a:xfrm>
        <a:prstGeom prst="rect">
          <a:avLst/>
        </a:prstGeom>
      </xdr:spPr>
    </xdr:pic>
    <xdr:clientData/>
  </xdr:twoCellAnchor>
  <xdr:oneCellAnchor>
    <xdr:from>
      <xdr:col>0</xdr:col>
      <xdr:colOff>1158875</xdr:colOff>
      <xdr:row>254</xdr:row>
      <xdr:rowOff>0</xdr:rowOff>
    </xdr:from>
    <xdr:ext cx="88900" cy="38100"/>
    <xdr:cxnSp>
      <xdr:nvCxnSpPr>
        <xdr:cNvPr id="3" name="shape3"/>
        <xdr:cNvCxnSpPr/>
      </xdr:nvCxnSpPr>
      <xdr:spPr>
        <a:xfrm flipV="1">
          <a:off x="692785" y="183060975"/>
          <a:ext cx="88900" cy="38100"/>
        </a:xfrm>
        <a:prstGeom prst="line">
          <a:avLst/>
        </a:prstGeom>
        <a:noFill/>
        <a:ln w="12700">
          <a:solidFill>
            <a:srgbClr val="5796D4"/>
          </a:solidFill>
        </a:ln>
      </xdr:spPr>
      <xdr:style>
        <a:lnRef idx="1">
          <a:schemeClr val="accent1"/>
        </a:lnRef>
        <a:fillRef idx="0">
          <a:schemeClr val="accent1"/>
        </a:fillRef>
        <a:effectRef idx="0">
          <a:schemeClr val="accent1"/>
        </a:effectRef>
        <a:fontRef idx="minor">
          <a:schemeClr val="tx1"/>
        </a:fontRef>
      </xdr:style>
    </xdr:cxnSp>
    <xdr:clientData/>
  </xdr:oneCellAnchor>
  <xdr:oneCellAnchor>
    <xdr:from>
      <xdr:col>0</xdr:col>
      <xdr:colOff>184591</xdr:colOff>
      <xdr:row>254</xdr:row>
      <xdr:rowOff>0</xdr:rowOff>
    </xdr:from>
    <xdr:ext cx="38100" cy="85725"/>
    <xdr:cxnSp>
      <xdr:nvCxnSpPr>
        <xdr:cNvPr id="4" name="shape4"/>
        <xdr:cNvCxnSpPr/>
      </xdr:nvCxnSpPr>
      <xdr:spPr>
        <a:xfrm flipV="1">
          <a:off x="184150" y="183060975"/>
          <a:ext cx="38100" cy="85725"/>
        </a:xfrm>
        <a:prstGeom prst="line">
          <a:avLst/>
        </a:prstGeom>
        <a:noFill/>
        <a:ln w="12700">
          <a:solidFill>
            <a:srgbClr val="5796D4"/>
          </a:solidFill>
        </a:ln>
      </xdr:spPr>
      <xdr:style>
        <a:lnRef idx="1">
          <a:schemeClr val="accent1"/>
        </a:lnRef>
        <a:fillRef idx="0">
          <a:schemeClr val="accent1"/>
        </a:fillRef>
        <a:effectRef idx="0">
          <a:schemeClr val="accent1"/>
        </a:effectRef>
        <a:fontRef idx="minor">
          <a:schemeClr val="tx1"/>
        </a:fontRef>
      </xdr:style>
    </xdr:cxnSp>
    <xdr:clientData/>
  </xdr:oneCellAnchor>
  <xdr:oneCellAnchor>
    <xdr:from>
      <xdr:col>0</xdr:col>
      <xdr:colOff>1158875</xdr:colOff>
      <xdr:row>254</xdr:row>
      <xdr:rowOff>0</xdr:rowOff>
    </xdr:from>
    <xdr:ext cx="88900" cy="38100"/>
    <xdr:cxnSp>
      <xdr:nvCxnSpPr>
        <xdr:cNvPr id="5" name="shape3"/>
        <xdr:cNvCxnSpPr/>
      </xdr:nvCxnSpPr>
      <xdr:spPr>
        <a:xfrm flipV="1">
          <a:off x="692785" y="183060975"/>
          <a:ext cx="88900" cy="38100"/>
        </a:xfrm>
        <a:prstGeom prst="line">
          <a:avLst/>
        </a:prstGeom>
        <a:noFill/>
        <a:ln w="12700">
          <a:solidFill>
            <a:srgbClr val="5796D4"/>
          </a:solidFill>
        </a:ln>
      </xdr:spPr>
      <xdr:style>
        <a:lnRef idx="1">
          <a:schemeClr val="accent1"/>
        </a:lnRef>
        <a:fillRef idx="0">
          <a:schemeClr val="accent1"/>
        </a:fillRef>
        <a:effectRef idx="0">
          <a:schemeClr val="accent1"/>
        </a:effectRef>
        <a:fontRef idx="minor">
          <a:schemeClr val="tx1"/>
        </a:fontRef>
      </xdr:style>
    </xdr:cxnSp>
    <xdr:clientData/>
  </xdr:one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7" Type="http://schemas.openxmlformats.org/officeDocument/2006/relationships/hyperlink" Target="https://item.taobao.com/item.htm?id=673529245088&amp;ft=t&amp;skuId=4850524865007" TargetMode="External"/><Relationship Id="rId6" Type="http://schemas.openxmlformats.org/officeDocument/2006/relationships/hyperlink" Target="https://detail.tmall.com/item.htm?id=646152173183&amp;price=188-488&amp;sourceType=item,item&amp;suid=34fdeb96-67cc-4b7a-8eb8-dd8a731bd1b1&amp;shareUniqueId=27132719024&amp;ut_sk=1.ZhKoGT/eFK8DAO8bmPy0tZ3O_21646297_1718326297939.DingTalk.1&amp;un=0ca81be31962e5463911dc70f8aca8ac&amp;share_crt_v=1&amp;un_site=0&amp;cpp=1&amp;shareurl=true&amp;spm=a313p.3124.u9r28n.1588403512788&amp;short_name=h.gUpHYpzMip1sAbx&amp;bxsign=scdAtuGCXH2ylsdSHgEZpISEMF2y2XxFLPkYlLLvg_tkO8laxZcpSuGDIgG2S1vtzOk5yUFe94eh-sq_t7TERdEDzuJGN6YNPvTK9jQ0uuewzH9_CxPB2Ye7FXsEHS5lRTU&amp;app=chrome" TargetMode="External"/><Relationship Id="rId5" Type="http://schemas.openxmlformats.org/officeDocument/2006/relationships/hyperlink" Target="https://item.taobao.com/item.htm?from=cart&amp;id=886775383793&amp;pisk=gZiSfr2xu_f7P55mEQp4h9kw16EIRXtwA9wKIvIPpuE8OkMIByIeruzQAjFq47kz2WZIdAUKTWkPEqcZBgoyrkSQqkqp_C-wb8DuxkBrGWMGZSe3dHS8pJEuDbPv5ixwbYDfU8pZHhorSBDQIwIK9zUAkJPYeJEd2KZYd8Ed2yIRksF0pkELJyFYH82O9_F8pK6YER5Rw8FRHSeTFgELvXHvhJc4EIwDP7HWeKlV_aS8IYFfvMnJxzNsVwSCAxe8PYk8Gxkqc8a76rfHrPi-gvnrqrYlzkDq5XgK6I7zwVwsGPuW1gGsZJhYHbJF--gIpcqur9SE1uGQW0UfpGMT2SqbHcpFSSobaXn7kdS_8onaWu32oQzUVRGKqb6CvfHqQ04mAC1Yt4ygDJiHBwNQJg7Pb5wJBw6bSMwb_K9f-wfy1ak27LIZ9ze03cJXh__3y-2b_K9f-w48n-z2hK15-&amp;skuId=5731925509297&amp;spm=a1z0d.6639537/202410.item.d886775383793.74ba7484gNkbIa" TargetMode="External"/><Relationship Id="rId4" Type="http://schemas.openxmlformats.org/officeDocument/2006/relationships/hyperlink" Target="https://detail.tmall.com/item.htm?ali_refid=a3_420435_1006:1331920097:N:QPxtQzMHZRCg2kVdhpKzAOw8w7rlrnJy:74445913b9ec1512bde34c52b420c590&amp;ali_trackid=162_74445913b9ec1512bde34c52b420c590&amp;id=636309314663&amp;skuId=4554369556985&amp;spm=a21n57.1.0.0" TargetMode="External"/><Relationship Id="rId3" Type="http://schemas.openxmlformats.org/officeDocument/2006/relationships/hyperlink" Target="https://detail.tmall.com/item.htm?abbucket=0&amp;id=652183561243&amp;ns=1&amp;skuId=4854165269433&amp;spm=a21n57.1.0.0.55a1523cZOmCG2" TargetMode="External"/><Relationship Id="rId2" Type="http://schemas.openxmlformats.org/officeDocument/2006/relationships/hyperlink" Target="https://item.taobao.com/item.htm?spm=a21n57.1.0.0.55a1523cZOmCG2&amp;id=693434673518&amp;ns=1&amp;abbucket=0" TargetMode="External"/><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
  <dimension ref="A1:H625"/>
  <sheetViews>
    <sheetView tabSelected="1" topLeftCell="A35" workbookViewId="0">
      <selection activeCell="I41" sqref="I41"/>
    </sheetView>
  </sheetViews>
  <sheetFormatPr defaultColWidth="8.725" defaultRowHeight="13.5" outlineLevelCol="7"/>
  <cols>
    <col min="1" max="1" width="9.09166666666667" style="1" customWidth="1"/>
    <col min="2" max="2" width="8.725" style="1"/>
    <col min="3" max="3" width="23.8166666666667" style="1" customWidth="1"/>
    <col min="4" max="4" width="8.725" style="1"/>
    <col min="5" max="5" width="10" style="1" customWidth="1"/>
    <col min="6" max="6" width="16.5416666666667" style="1"/>
    <col min="7" max="7" width="8.725" style="1"/>
    <col min="8" max="8" width="8.81666666666667" style="1" customWidth="1"/>
    <col min="9" max="9" width="23.0916666666667" style="1" customWidth="1"/>
    <col min="10" max="10" width="22.9" style="1" customWidth="1"/>
    <col min="11" max="16384" width="8.725" style="1"/>
  </cols>
  <sheetData>
    <row r="1" ht="23" customHeight="1" spans="1:8">
      <c r="A1" s="2" t="s">
        <v>0</v>
      </c>
      <c r="B1" s="2"/>
      <c r="C1" s="2"/>
      <c r="D1" s="2"/>
      <c r="E1" s="2"/>
      <c r="F1" s="2"/>
      <c r="G1" s="2"/>
      <c r="H1" s="2"/>
    </row>
    <row r="2" ht="14.25" spans="1:8">
      <c r="A2" s="3" t="s">
        <v>1</v>
      </c>
      <c r="B2" s="3" t="s">
        <v>2</v>
      </c>
      <c r="C2" s="3" t="s">
        <v>3</v>
      </c>
      <c r="D2" s="3" t="s">
        <v>4</v>
      </c>
      <c r="E2" s="3" t="s">
        <v>5</v>
      </c>
      <c r="F2" s="3" t="s">
        <v>6</v>
      </c>
      <c r="G2" s="3" t="s">
        <v>7</v>
      </c>
      <c r="H2" s="4" t="s">
        <v>8</v>
      </c>
    </row>
    <row r="3" ht="57" customHeight="1" spans="1:8">
      <c r="A3" s="5" t="s">
        <v>9</v>
      </c>
      <c r="B3" s="6" t="s">
        <v>10</v>
      </c>
      <c r="C3" s="6" t="s">
        <v>11</v>
      </c>
      <c r="D3" s="6" t="s">
        <v>12</v>
      </c>
      <c r="E3" s="6" t="s">
        <v>13</v>
      </c>
      <c r="F3" s="6" t="str">
        <f>_xlfn.DISPIMG("ID_E697383C3CAA445A85BB344B131894E6",1)</f>
        <v>=DISPIMG("ID_E697383C3CAA445A85BB344B131894E6",1)</v>
      </c>
      <c r="G3" s="6" t="s">
        <v>14</v>
      </c>
      <c r="H3" s="6">
        <v>2</v>
      </c>
    </row>
    <row r="4" ht="57" customHeight="1" spans="1:8">
      <c r="A4" s="5" t="s">
        <v>15</v>
      </c>
      <c r="B4" s="6" t="s">
        <v>10</v>
      </c>
      <c r="C4" s="6" t="s">
        <v>16</v>
      </c>
      <c r="D4" s="6" t="s">
        <v>12</v>
      </c>
      <c r="E4" s="6" t="s">
        <v>17</v>
      </c>
      <c r="F4" s="6" t="str">
        <f>_xlfn.DISPIMG("ID_E697383C3CAA445A85BB344B131894E6",1)</f>
        <v>=DISPIMG("ID_E697383C3CAA445A85BB344B131894E6",1)</v>
      </c>
      <c r="G4" s="6" t="s">
        <v>14</v>
      </c>
      <c r="H4" s="6">
        <v>2</v>
      </c>
    </row>
    <row r="5" ht="57" customHeight="1" spans="1:8">
      <c r="A5" s="5" t="s">
        <v>18</v>
      </c>
      <c r="B5" s="6" t="s">
        <v>19</v>
      </c>
      <c r="C5" s="6" t="s">
        <v>20</v>
      </c>
      <c r="D5" s="6" t="s">
        <v>21</v>
      </c>
      <c r="E5" s="6" t="s">
        <v>22</v>
      </c>
      <c r="F5" s="6" t="str">
        <f t="shared" ref="F5:F13" si="0">_xlfn.DISPIMG("ID_F04A9D3F4BE74DD49C511475873CC24A",1)</f>
        <v>=DISPIMG("ID_F04A9D3F4BE74DD49C511475873CC24A",1)</v>
      </c>
      <c r="G5" s="6" t="s">
        <v>14</v>
      </c>
      <c r="H5" s="6">
        <v>2</v>
      </c>
    </row>
    <row r="6" ht="57" customHeight="1" spans="1:8">
      <c r="A6" s="5" t="s">
        <v>23</v>
      </c>
      <c r="B6" s="6" t="s">
        <v>19</v>
      </c>
      <c r="C6" s="6" t="s">
        <v>24</v>
      </c>
      <c r="D6" s="6" t="s">
        <v>21</v>
      </c>
      <c r="E6" s="6" t="s">
        <v>22</v>
      </c>
      <c r="F6" s="6" t="str">
        <f t="shared" si="0"/>
        <v>=DISPIMG("ID_F04A9D3F4BE74DD49C511475873CC24A",1)</v>
      </c>
      <c r="G6" s="6" t="s">
        <v>14</v>
      </c>
      <c r="H6" s="6">
        <v>2</v>
      </c>
    </row>
    <row r="7" ht="57" customHeight="1" spans="1:8">
      <c r="A7" s="5" t="s">
        <v>25</v>
      </c>
      <c r="B7" s="6" t="s">
        <v>19</v>
      </c>
      <c r="C7" s="6" t="s">
        <v>26</v>
      </c>
      <c r="D7" s="6" t="s">
        <v>21</v>
      </c>
      <c r="E7" s="6" t="s">
        <v>22</v>
      </c>
      <c r="F7" s="6" t="str">
        <f t="shared" si="0"/>
        <v>=DISPIMG("ID_F04A9D3F4BE74DD49C511475873CC24A",1)</v>
      </c>
      <c r="G7" s="6" t="s">
        <v>14</v>
      </c>
      <c r="H7" s="6">
        <v>2</v>
      </c>
    </row>
    <row r="8" ht="57" customHeight="1" spans="1:8">
      <c r="A8" s="5" t="s">
        <v>27</v>
      </c>
      <c r="B8" s="6" t="s">
        <v>19</v>
      </c>
      <c r="C8" s="6" t="s">
        <v>28</v>
      </c>
      <c r="D8" s="6" t="s">
        <v>21</v>
      </c>
      <c r="E8" s="6" t="s">
        <v>22</v>
      </c>
      <c r="F8" s="6" t="str">
        <f t="shared" si="0"/>
        <v>=DISPIMG("ID_F04A9D3F4BE74DD49C511475873CC24A",1)</v>
      </c>
      <c r="G8" s="6" t="s">
        <v>14</v>
      </c>
      <c r="H8" s="6">
        <v>2</v>
      </c>
    </row>
    <row r="9" ht="57" customHeight="1" spans="1:8">
      <c r="A9" s="5" t="s">
        <v>29</v>
      </c>
      <c r="B9" s="6" t="s">
        <v>19</v>
      </c>
      <c r="C9" s="6" t="s">
        <v>30</v>
      </c>
      <c r="D9" s="6" t="s">
        <v>21</v>
      </c>
      <c r="E9" s="6" t="s">
        <v>22</v>
      </c>
      <c r="F9" s="6" t="str">
        <f t="shared" si="0"/>
        <v>=DISPIMG("ID_F04A9D3F4BE74DD49C511475873CC24A",1)</v>
      </c>
      <c r="G9" s="6" t="s">
        <v>14</v>
      </c>
      <c r="H9" s="6">
        <v>2</v>
      </c>
    </row>
    <row r="10" ht="57" customHeight="1" spans="1:8">
      <c r="A10" s="5" t="s">
        <v>31</v>
      </c>
      <c r="B10" s="6" t="s">
        <v>19</v>
      </c>
      <c r="C10" s="6" t="s">
        <v>32</v>
      </c>
      <c r="D10" s="6" t="s">
        <v>21</v>
      </c>
      <c r="E10" s="6" t="s">
        <v>22</v>
      </c>
      <c r="F10" s="6" t="str">
        <f t="shared" si="0"/>
        <v>=DISPIMG("ID_F04A9D3F4BE74DD49C511475873CC24A",1)</v>
      </c>
      <c r="G10" s="6" t="s">
        <v>14</v>
      </c>
      <c r="H10" s="6">
        <v>2</v>
      </c>
    </row>
    <row r="11" ht="57" customHeight="1" spans="1:8">
      <c r="A11" s="5" t="s">
        <v>33</v>
      </c>
      <c r="B11" s="6" t="s">
        <v>19</v>
      </c>
      <c r="C11" s="6" t="s">
        <v>34</v>
      </c>
      <c r="D11" s="6" t="s">
        <v>21</v>
      </c>
      <c r="E11" s="6" t="s">
        <v>22</v>
      </c>
      <c r="F11" s="6" t="str">
        <f t="shared" si="0"/>
        <v>=DISPIMG("ID_F04A9D3F4BE74DD49C511475873CC24A",1)</v>
      </c>
      <c r="G11" s="6" t="s">
        <v>14</v>
      </c>
      <c r="H11" s="6">
        <v>2</v>
      </c>
    </row>
    <row r="12" ht="57" customHeight="1" spans="1:8">
      <c r="A12" s="5" t="s">
        <v>35</v>
      </c>
      <c r="B12" s="6" t="s">
        <v>19</v>
      </c>
      <c r="C12" s="6" t="s">
        <v>36</v>
      </c>
      <c r="D12" s="6" t="s">
        <v>21</v>
      </c>
      <c r="E12" s="6" t="s">
        <v>22</v>
      </c>
      <c r="F12" s="6" t="str">
        <f t="shared" si="0"/>
        <v>=DISPIMG("ID_F04A9D3F4BE74DD49C511475873CC24A",1)</v>
      </c>
      <c r="G12" s="6" t="s">
        <v>14</v>
      </c>
      <c r="H12" s="6">
        <v>2</v>
      </c>
    </row>
    <row r="13" ht="57" customHeight="1" spans="1:8">
      <c r="A13" s="5" t="s">
        <v>37</v>
      </c>
      <c r="B13" s="6" t="s">
        <v>19</v>
      </c>
      <c r="C13" s="6" t="s">
        <v>38</v>
      </c>
      <c r="D13" s="6" t="s">
        <v>21</v>
      </c>
      <c r="E13" s="6" t="s">
        <v>22</v>
      </c>
      <c r="F13" s="6" t="str">
        <f t="shared" si="0"/>
        <v>=DISPIMG("ID_F04A9D3F4BE74DD49C511475873CC24A",1)</v>
      </c>
      <c r="G13" s="6" t="s">
        <v>14</v>
      </c>
      <c r="H13" s="6">
        <v>2</v>
      </c>
    </row>
    <row r="14" ht="57" customHeight="1" spans="1:8">
      <c r="A14" s="6" t="s">
        <v>39</v>
      </c>
      <c r="B14" s="6" t="s">
        <v>40</v>
      </c>
      <c r="C14" s="6" t="s">
        <v>41</v>
      </c>
      <c r="D14" s="6" t="s">
        <v>42</v>
      </c>
      <c r="E14" s="6" t="s">
        <v>43</v>
      </c>
      <c r="F14" s="6" t="str">
        <f>_xlfn.DISPIMG("ID_F7BB57A527DF4294BCF24E606B8B56EB",1)</f>
        <v>=DISPIMG("ID_F7BB57A527DF4294BCF24E606B8B56EB",1)</v>
      </c>
      <c r="G14" s="7" t="s">
        <v>44</v>
      </c>
      <c r="H14" s="6">
        <v>3</v>
      </c>
    </row>
    <row r="15" ht="57" customHeight="1" spans="1:8">
      <c r="A15" s="6" t="s">
        <v>45</v>
      </c>
      <c r="B15" s="6" t="s">
        <v>46</v>
      </c>
      <c r="C15" s="6" t="s">
        <v>47</v>
      </c>
      <c r="D15" s="6" t="s">
        <v>48</v>
      </c>
      <c r="E15" s="6" t="s">
        <v>49</v>
      </c>
      <c r="F15" s="6" t="str">
        <f>_xlfn.DISPIMG("ID_F602A1F0E27143DB9419C6ADB5DA1222",1)</f>
        <v>=DISPIMG("ID_F602A1F0E27143DB9419C6ADB5DA1222",1)</v>
      </c>
      <c r="G15" s="7" t="s">
        <v>14</v>
      </c>
      <c r="H15" s="6">
        <v>1</v>
      </c>
    </row>
    <row r="16" ht="57" customHeight="1" spans="1:8">
      <c r="A16" s="6" t="s">
        <v>50</v>
      </c>
      <c r="B16" s="6" t="s">
        <v>51</v>
      </c>
      <c r="C16" s="6" t="s">
        <v>52</v>
      </c>
      <c r="D16" s="6" t="s">
        <v>53</v>
      </c>
      <c r="E16" s="6" t="s">
        <v>54</v>
      </c>
      <c r="F16" s="6" t="str">
        <f>_xlfn.DISPIMG("ID_3899D64E14BB4FD3BA2062A148629A4E",1)</f>
        <v>=DISPIMG("ID_3899D64E14BB4FD3BA2062A148629A4E",1)</v>
      </c>
      <c r="G16" s="7" t="s">
        <v>14</v>
      </c>
      <c r="H16" s="6">
        <v>4</v>
      </c>
    </row>
    <row r="17" ht="57" customHeight="1" spans="1:8">
      <c r="A17" s="5" t="s">
        <v>55</v>
      </c>
      <c r="B17" s="7" t="s">
        <v>19</v>
      </c>
      <c r="C17" s="8" t="s">
        <v>56</v>
      </c>
      <c r="D17" s="6" t="s">
        <v>57</v>
      </c>
      <c r="E17" s="6" t="s">
        <v>58</v>
      </c>
      <c r="F17" s="6" t="str">
        <f t="shared" ref="F17:F20" si="1">_xlfn.DISPIMG("ID_C6CF5D7CD3664482B90AF718F3E727B2",1)</f>
        <v>=DISPIMG("ID_C6CF5D7CD3664482B90AF718F3E727B2",1)</v>
      </c>
      <c r="G17" s="7" t="s">
        <v>44</v>
      </c>
      <c r="H17" s="6">
        <v>2</v>
      </c>
    </row>
    <row r="18" ht="57" customHeight="1" spans="1:8">
      <c r="A18" s="5" t="s">
        <v>59</v>
      </c>
      <c r="B18" s="7" t="s">
        <v>19</v>
      </c>
      <c r="C18" s="8" t="s">
        <v>60</v>
      </c>
      <c r="D18" s="6" t="s">
        <v>57</v>
      </c>
      <c r="E18" s="6" t="s">
        <v>58</v>
      </c>
      <c r="F18" s="6" t="str">
        <f t="shared" si="1"/>
        <v>=DISPIMG("ID_C6CF5D7CD3664482B90AF718F3E727B2",1)</v>
      </c>
      <c r="G18" s="7" t="s">
        <v>44</v>
      </c>
      <c r="H18" s="6">
        <v>2</v>
      </c>
    </row>
    <row r="19" ht="57" customHeight="1" spans="1:8">
      <c r="A19" s="5" t="s">
        <v>61</v>
      </c>
      <c r="B19" s="7" t="s">
        <v>19</v>
      </c>
      <c r="C19" s="8" t="s">
        <v>62</v>
      </c>
      <c r="D19" s="6" t="s">
        <v>57</v>
      </c>
      <c r="E19" s="6" t="s">
        <v>58</v>
      </c>
      <c r="F19" s="6" t="str">
        <f t="shared" si="1"/>
        <v>=DISPIMG("ID_C6CF5D7CD3664482B90AF718F3E727B2",1)</v>
      </c>
      <c r="G19" s="7" t="s">
        <v>44</v>
      </c>
      <c r="H19" s="6">
        <v>2</v>
      </c>
    </row>
    <row r="20" ht="57" customHeight="1" spans="1:8">
      <c r="A20" s="5" t="s">
        <v>63</v>
      </c>
      <c r="B20" s="7" t="s">
        <v>19</v>
      </c>
      <c r="C20" s="8" t="s">
        <v>64</v>
      </c>
      <c r="D20" s="6" t="s">
        <v>57</v>
      </c>
      <c r="E20" s="6" t="s">
        <v>58</v>
      </c>
      <c r="F20" s="6" t="str">
        <f t="shared" si="1"/>
        <v>=DISPIMG("ID_C6CF5D7CD3664482B90AF718F3E727B2",1)</v>
      </c>
      <c r="G20" s="7" t="s">
        <v>44</v>
      </c>
      <c r="H20" s="6">
        <v>2</v>
      </c>
    </row>
    <row r="21" ht="57" customHeight="1" spans="1:8">
      <c r="A21" s="6" t="s">
        <v>65</v>
      </c>
      <c r="B21" s="6" t="s">
        <v>66</v>
      </c>
      <c r="C21" s="7" t="s">
        <v>67</v>
      </c>
      <c r="D21" s="6" t="s">
        <v>68</v>
      </c>
      <c r="E21" s="6"/>
      <c r="F21" s="6" t="str">
        <f>_xlfn.DISPIMG("ID_FB8D07F9C85049429DEAB27E179B634B",1)</f>
        <v>=DISPIMG("ID_FB8D07F9C85049429DEAB27E179B634B",1)</v>
      </c>
      <c r="G21" s="7" t="s">
        <v>44</v>
      </c>
      <c r="H21" s="6">
        <v>4</v>
      </c>
    </row>
    <row r="22" ht="57" customHeight="1" spans="1:8">
      <c r="A22" s="6" t="s">
        <v>69</v>
      </c>
      <c r="B22" s="6" t="s">
        <v>19</v>
      </c>
      <c r="C22" s="7" t="s">
        <v>70</v>
      </c>
      <c r="D22" s="6" t="s">
        <v>68</v>
      </c>
      <c r="E22" s="6" t="s">
        <v>71</v>
      </c>
      <c r="F22" s="6" t="str">
        <f>_xlfn.DISPIMG("ID_BD354F0C6345465EB8796D83B98637F0",1)</f>
        <v>=DISPIMG("ID_BD354F0C6345465EB8796D83B98637F0",1)</v>
      </c>
      <c r="G22" s="7" t="s">
        <v>44</v>
      </c>
      <c r="H22" s="6">
        <v>2</v>
      </c>
    </row>
    <row r="23" ht="57" customHeight="1" spans="1:8">
      <c r="A23" s="5" t="s">
        <v>72</v>
      </c>
      <c r="B23" s="6" t="s">
        <v>73</v>
      </c>
      <c r="C23" s="7" t="s">
        <v>74</v>
      </c>
      <c r="D23" s="6" t="s">
        <v>68</v>
      </c>
      <c r="E23" s="6" t="s">
        <v>75</v>
      </c>
      <c r="F23" s="6" t="str">
        <f t="shared" ref="F23:F26" si="2">_xlfn.DISPIMG("ID_A3FA8821DE284B56B6260F20513F0059",1)</f>
        <v>=DISPIMG("ID_A3FA8821DE284B56B6260F20513F0059",1)</v>
      </c>
      <c r="G23" s="7" t="s">
        <v>44</v>
      </c>
      <c r="H23" s="6">
        <v>2</v>
      </c>
    </row>
    <row r="24" ht="57" customHeight="1" spans="1:8">
      <c r="A24" s="5" t="s">
        <v>76</v>
      </c>
      <c r="B24" s="6" t="s">
        <v>73</v>
      </c>
      <c r="C24" s="7" t="s">
        <v>77</v>
      </c>
      <c r="D24" s="6" t="s">
        <v>68</v>
      </c>
      <c r="E24" s="6" t="s">
        <v>75</v>
      </c>
      <c r="F24" s="6" t="str">
        <f t="shared" si="2"/>
        <v>=DISPIMG("ID_A3FA8821DE284B56B6260F20513F0059",1)</v>
      </c>
      <c r="G24" s="7" t="s">
        <v>44</v>
      </c>
      <c r="H24" s="6">
        <v>2</v>
      </c>
    </row>
    <row r="25" ht="57" customHeight="1" spans="1:8">
      <c r="A25" s="5" t="s">
        <v>78</v>
      </c>
      <c r="B25" s="6" t="s">
        <v>73</v>
      </c>
      <c r="C25" s="7" t="s">
        <v>79</v>
      </c>
      <c r="D25" s="6" t="s">
        <v>68</v>
      </c>
      <c r="E25" s="6" t="s">
        <v>75</v>
      </c>
      <c r="F25" s="6" t="str">
        <f t="shared" si="2"/>
        <v>=DISPIMG("ID_A3FA8821DE284B56B6260F20513F0059",1)</v>
      </c>
      <c r="G25" s="7" t="s">
        <v>44</v>
      </c>
      <c r="H25" s="6">
        <v>2</v>
      </c>
    </row>
    <row r="26" ht="57" customHeight="1" spans="1:8">
      <c r="A26" s="5" t="s">
        <v>80</v>
      </c>
      <c r="B26" s="6" t="s">
        <v>73</v>
      </c>
      <c r="C26" s="7" t="s">
        <v>81</v>
      </c>
      <c r="D26" s="6" t="s">
        <v>68</v>
      </c>
      <c r="E26" s="6" t="s">
        <v>75</v>
      </c>
      <c r="F26" s="6" t="str">
        <f t="shared" si="2"/>
        <v>=DISPIMG("ID_A3FA8821DE284B56B6260F20513F0059",1)</v>
      </c>
      <c r="G26" s="7" t="s">
        <v>44</v>
      </c>
      <c r="H26" s="6">
        <v>2</v>
      </c>
    </row>
    <row r="27" ht="57" customHeight="1" spans="1:8">
      <c r="A27" s="9" t="s">
        <v>82</v>
      </c>
      <c r="B27" s="6" t="s">
        <v>83</v>
      </c>
      <c r="C27" s="6" t="s">
        <v>84</v>
      </c>
      <c r="D27" s="6" t="s">
        <v>68</v>
      </c>
      <c r="E27" s="6" t="s">
        <v>85</v>
      </c>
      <c r="F27" s="6" t="str">
        <f>_xlfn.DISPIMG("ID_2763733ACA2243BF8CAA21D80BC15AC0",1)</f>
        <v>=DISPIMG("ID_2763733ACA2243BF8CAA21D80BC15AC0",1)</v>
      </c>
      <c r="G27" s="7" t="s">
        <v>44</v>
      </c>
      <c r="H27" s="6">
        <v>2</v>
      </c>
    </row>
    <row r="28" ht="57" customHeight="1" spans="1:8">
      <c r="A28" s="10"/>
      <c r="B28" s="6" t="s">
        <v>83</v>
      </c>
      <c r="C28" s="6" t="s">
        <v>86</v>
      </c>
      <c r="D28" s="6" t="s">
        <v>68</v>
      </c>
      <c r="E28" s="6" t="s">
        <v>85</v>
      </c>
      <c r="F28" s="6" t="str">
        <f>_xlfn.DISPIMG("ID_2763733ACA2243BF8CAA21D80BC15AC0",1)</f>
        <v>=DISPIMG("ID_2763733ACA2243BF8CAA21D80BC15AC0",1)</v>
      </c>
      <c r="G28" s="7" t="s">
        <v>44</v>
      </c>
      <c r="H28" s="6">
        <v>2</v>
      </c>
    </row>
    <row r="29" ht="57" customHeight="1" spans="1:8">
      <c r="A29" s="6" t="s">
        <v>87</v>
      </c>
      <c r="B29" s="6" t="s">
        <v>88</v>
      </c>
      <c r="C29" s="6" t="s">
        <v>89</v>
      </c>
      <c r="D29" s="6" t="s">
        <v>90</v>
      </c>
      <c r="E29" s="6" t="s">
        <v>91</v>
      </c>
      <c r="F29" s="6" t="str">
        <f>_xlfn.DISPIMG("ID_D48778A34330437892CED41C585F771D",1)</f>
        <v>=DISPIMG("ID_D48778A34330437892CED41C585F771D",1)</v>
      </c>
      <c r="G29" s="6" t="s">
        <v>44</v>
      </c>
      <c r="H29" s="6">
        <v>2</v>
      </c>
    </row>
    <row r="30" ht="57" customHeight="1" spans="1:8">
      <c r="A30" s="6" t="s">
        <v>92</v>
      </c>
      <c r="B30" s="6" t="s">
        <v>88</v>
      </c>
      <c r="C30" s="6" t="s">
        <v>93</v>
      </c>
      <c r="D30" s="6" t="s">
        <v>94</v>
      </c>
      <c r="E30" s="6" t="s">
        <v>95</v>
      </c>
      <c r="F30" s="6" t="str">
        <f>_xlfn.DISPIMG("ID_9CE0A84A96DA4356B4B682D6F46E6D84",1)</f>
        <v>=DISPIMG("ID_9CE0A84A96DA4356B4B682D6F46E6D84",1)</v>
      </c>
      <c r="G30" s="6" t="s">
        <v>44</v>
      </c>
      <c r="H30" s="6">
        <v>2</v>
      </c>
    </row>
    <row r="31" ht="57" customHeight="1" spans="1:8">
      <c r="A31" s="6" t="s">
        <v>96</v>
      </c>
      <c r="B31" s="6" t="s">
        <v>97</v>
      </c>
      <c r="C31" s="6" t="s">
        <v>98</v>
      </c>
      <c r="D31" s="6" t="s">
        <v>94</v>
      </c>
      <c r="E31" s="6" t="s">
        <v>99</v>
      </c>
      <c r="F31" s="6" t="str">
        <f>_xlfn.DISPIMG("ID_86D35107575F448DBF4DAD8B8930011F",1)</f>
        <v>=DISPIMG("ID_86D35107575F448DBF4DAD8B8930011F",1)</v>
      </c>
      <c r="G31" s="6" t="s">
        <v>44</v>
      </c>
      <c r="H31" s="6">
        <v>2</v>
      </c>
    </row>
    <row r="32" ht="57" customHeight="1" spans="1:8">
      <c r="A32" s="6" t="s">
        <v>100</v>
      </c>
      <c r="B32" s="6" t="s">
        <v>97</v>
      </c>
      <c r="C32" s="6" t="s">
        <v>101</v>
      </c>
      <c r="D32" s="6" t="s">
        <v>94</v>
      </c>
      <c r="E32" s="6" t="s">
        <v>99</v>
      </c>
      <c r="F32" s="6" t="str">
        <f>_xlfn.DISPIMG("ID_D5D33CD3A6DB4E0BBA493DB40E8B8237",1)</f>
        <v>=DISPIMG("ID_D5D33CD3A6DB4E0BBA493DB40E8B8237",1)</v>
      </c>
      <c r="G32" s="6" t="s">
        <v>44</v>
      </c>
      <c r="H32" s="6">
        <v>2</v>
      </c>
    </row>
    <row r="33" ht="57" customHeight="1" spans="1:8">
      <c r="A33" s="6" t="s">
        <v>102</v>
      </c>
      <c r="B33" s="6" t="s">
        <v>103</v>
      </c>
      <c r="C33" s="6" t="s">
        <v>104</v>
      </c>
      <c r="D33" s="6" t="s">
        <v>105</v>
      </c>
      <c r="E33" s="6" t="s">
        <v>106</v>
      </c>
      <c r="F33" s="6" t="str">
        <f>_xlfn.DISPIMG("ID_52202D357A0442CD9BB87BBD6814D6A2",1)</f>
        <v>=DISPIMG("ID_52202D357A0442CD9BB87BBD6814D6A2",1)</v>
      </c>
      <c r="G33" s="6" t="s">
        <v>44</v>
      </c>
      <c r="H33" s="6">
        <v>2</v>
      </c>
    </row>
    <row r="34" ht="57" customHeight="1" spans="1:8">
      <c r="A34" s="6" t="s">
        <v>107</v>
      </c>
      <c r="B34" s="6" t="s">
        <v>108</v>
      </c>
      <c r="C34" s="6" t="s">
        <v>109</v>
      </c>
      <c r="D34" s="6" t="s">
        <v>105</v>
      </c>
      <c r="E34" s="6" t="s">
        <v>110</v>
      </c>
      <c r="F34" s="6" t="str">
        <f>_xlfn.DISPIMG("ID_FEB4420F5D9642FABABD700C6A5134C0",1)</f>
        <v>=DISPIMG("ID_FEB4420F5D9642FABABD700C6A5134C0",1)</v>
      </c>
      <c r="G34" s="6" t="s">
        <v>44</v>
      </c>
      <c r="H34" s="6">
        <v>2</v>
      </c>
    </row>
    <row r="35" ht="57" customHeight="1" spans="1:8">
      <c r="A35" s="6" t="s">
        <v>111</v>
      </c>
      <c r="B35" s="6" t="s">
        <v>108</v>
      </c>
      <c r="C35" s="6" t="s">
        <v>112</v>
      </c>
      <c r="D35" s="6" t="s">
        <v>105</v>
      </c>
      <c r="E35" s="6" t="s">
        <v>113</v>
      </c>
      <c r="F35" s="6" t="str">
        <f>_xlfn.DISPIMG("ID_1499189ADFC741EC952A9BEF881D933C",1)</f>
        <v>=DISPIMG("ID_1499189ADFC741EC952A9BEF881D933C",1)</v>
      </c>
      <c r="G35" s="6" t="s">
        <v>44</v>
      </c>
      <c r="H35" s="6">
        <v>2</v>
      </c>
    </row>
    <row r="36" ht="57" customHeight="1" spans="1:8">
      <c r="A36" s="6" t="s">
        <v>114</v>
      </c>
      <c r="B36" s="6" t="s">
        <v>115</v>
      </c>
      <c r="C36" s="6" t="s">
        <v>116</v>
      </c>
      <c r="D36" s="6" t="s">
        <v>68</v>
      </c>
      <c r="E36" s="6" t="s">
        <v>117</v>
      </c>
      <c r="F36" s="6" t="str">
        <f>_xlfn.DISPIMG("ID_63AFE9FFC89E46618A03473D0A849325",1)</f>
        <v>=DISPIMG("ID_63AFE9FFC89E46618A03473D0A849325",1)</v>
      </c>
      <c r="G36" s="6" t="s">
        <v>44</v>
      </c>
      <c r="H36" s="6">
        <v>2</v>
      </c>
    </row>
    <row r="37" ht="57" customHeight="1" spans="1:8">
      <c r="A37" s="6" t="s">
        <v>118</v>
      </c>
      <c r="B37" s="6" t="s">
        <v>115</v>
      </c>
      <c r="C37" s="6" t="s">
        <v>119</v>
      </c>
      <c r="D37" s="6" t="s">
        <v>68</v>
      </c>
      <c r="E37" s="6" t="s">
        <v>120</v>
      </c>
      <c r="F37" s="6" t="str">
        <f>_xlfn.DISPIMG("ID_C0E147967DB04ED88BB355A3FE894730",1)</f>
        <v>=DISPIMG("ID_C0E147967DB04ED88BB355A3FE894730",1)</v>
      </c>
      <c r="G37" s="7" t="s">
        <v>44</v>
      </c>
      <c r="H37" s="6">
        <v>2</v>
      </c>
    </row>
    <row r="38" ht="57" customHeight="1" spans="1:8">
      <c r="A38" s="6" t="s">
        <v>121</v>
      </c>
      <c r="B38" s="6" t="s">
        <v>122</v>
      </c>
      <c r="C38" s="8" t="s">
        <v>123</v>
      </c>
      <c r="D38" s="6" t="s">
        <v>124</v>
      </c>
      <c r="E38" s="6" t="s">
        <v>125</v>
      </c>
      <c r="F38" s="6" t="str">
        <f>_xlfn.DISPIMG("ID_D4AD0B8195C44BA681B06CF70F3EC1D8",1)</f>
        <v>=DISPIMG("ID_D4AD0B8195C44BA681B06CF70F3EC1D8",1)</v>
      </c>
      <c r="G38" s="8" t="s">
        <v>44</v>
      </c>
      <c r="H38" s="6">
        <v>2</v>
      </c>
    </row>
    <row r="39" ht="57" customHeight="1" spans="1:8">
      <c r="A39" s="6" t="s">
        <v>126</v>
      </c>
      <c r="B39" s="6" t="s">
        <v>122</v>
      </c>
      <c r="C39" s="8" t="s">
        <v>127</v>
      </c>
      <c r="D39" s="6" t="s">
        <v>68</v>
      </c>
      <c r="E39" s="6" t="s">
        <v>128</v>
      </c>
      <c r="F39" s="6" t="str">
        <f>_xlfn.DISPIMG("ID_B226112E217540E1B619C749DF4D96F3",1)</f>
        <v>=DISPIMG("ID_B226112E217540E1B619C749DF4D96F3",1)</v>
      </c>
      <c r="G39" s="8" t="s">
        <v>44</v>
      </c>
      <c r="H39" s="6">
        <v>2</v>
      </c>
    </row>
    <row r="40" ht="57" customHeight="1" spans="1:8">
      <c r="A40" s="6" t="s">
        <v>129</v>
      </c>
      <c r="B40" s="6" t="s">
        <v>122</v>
      </c>
      <c r="C40" s="8" t="s">
        <v>130</v>
      </c>
      <c r="D40" s="6" t="s">
        <v>68</v>
      </c>
      <c r="E40" s="6" t="s">
        <v>128</v>
      </c>
      <c r="F40" s="6" t="str">
        <f>_xlfn.DISPIMG("ID_7AFD5CA19E6048D1998024312CA70E58",1)</f>
        <v>=DISPIMG("ID_7AFD5CA19E6048D1998024312CA70E58",1)</v>
      </c>
      <c r="G40" s="8" t="s">
        <v>44</v>
      </c>
      <c r="H40" s="6">
        <v>2</v>
      </c>
    </row>
    <row r="41" ht="57" customHeight="1" spans="1:8">
      <c r="A41" s="6" t="s">
        <v>131</v>
      </c>
      <c r="B41" s="6" t="s">
        <v>122</v>
      </c>
      <c r="C41" s="8" t="s">
        <v>132</v>
      </c>
      <c r="D41" s="6" t="s">
        <v>68</v>
      </c>
      <c r="E41" s="6" t="s">
        <v>133</v>
      </c>
      <c r="F41" s="6" t="str">
        <f>_xlfn.DISPIMG("ID_D8FA0A178A7242E5A815E82044969D86",1)</f>
        <v>=DISPIMG("ID_D8FA0A178A7242E5A815E82044969D86",1)</v>
      </c>
      <c r="G41" s="8" t="s">
        <v>44</v>
      </c>
      <c r="H41" s="6">
        <v>2</v>
      </c>
    </row>
    <row r="42" ht="57" customHeight="1" spans="1:8">
      <c r="A42" s="11" t="s">
        <v>134</v>
      </c>
      <c r="B42" s="12" t="s">
        <v>135</v>
      </c>
      <c r="C42" s="13" t="s">
        <v>136</v>
      </c>
      <c r="D42" s="11" t="s">
        <v>137</v>
      </c>
      <c r="E42" s="11" t="s">
        <v>138</v>
      </c>
      <c r="F42" s="11" t="str">
        <f>_xlfn.DISPIMG("ID_595AE3A62995478E9F5A40CECB09360F",1)</f>
        <v>=DISPIMG("ID_595AE3A62995478E9F5A40CECB09360F",1)</v>
      </c>
      <c r="G42" s="14" t="s">
        <v>14</v>
      </c>
      <c r="H42" s="15">
        <v>30</v>
      </c>
    </row>
    <row r="43" ht="57" customHeight="1" spans="1:8">
      <c r="A43" s="6" t="s">
        <v>139</v>
      </c>
      <c r="B43" s="6" t="s">
        <v>140</v>
      </c>
      <c r="C43" s="6" t="s">
        <v>141</v>
      </c>
      <c r="D43" s="6" t="s">
        <v>142</v>
      </c>
      <c r="E43" s="6" t="s">
        <v>141</v>
      </c>
      <c r="F43" s="16" t="str">
        <f>_xlfn.DISPIMG("ID_76480C510D3B4F0694D7BA0EB6786C60",1)</f>
        <v>=DISPIMG("ID_76480C510D3B4F0694D7BA0EB6786C60",1)</v>
      </c>
      <c r="G43" s="6" t="s">
        <v>14</v>
      </c>
      <c r="H43" s="17">
        <v>20</v>
      </c>
    </row>
    <row r="44" ht="57" customHeight="1" spans="1:8">
      <c r="A44" s="6" t="s">
        <v>143</v>
      </c>
      <c r="B44" s="6" t="s">
        <v>140</v>
      </c>
      <c r="C44" s="6" t="s">
        <v>144</v>
      </c>
      <c r="D44" s="6" t="s">
        <v>142</v>
      </c>
      <c r="E44" s="6" t="s">
        <v>144</v>
      </c>
      <c r="F44" s="16" t="str">
        <f>_xlfn.DISPIMG("ID_76480C510D3B4F0694D7BA0EB6786C60",1)</f>
        <v>=DISPIMG("ID_76480C510D3B4F0694D7BA0EB6786C60",1)</v>
      </c>
      <c r="G44" s="6" t="s">
        <v>14</v>
      </c>
      <c r="H44" s="17">
        <v>8</v>
      </c>
    </row>
    <row r="45" ht="57" customHeight="1" spans="1:8">
      <c r="A45" s="9" t="s">
        <v>145</v>
      </c>
      <c r="B45" s="9" t="s">
        <v>140</v>
      </c>
      <c r="C45" s="9" t="s">
        <v>146</v>
      </c>
      <c r="D45" s="6" t="s">
        <v>142</v>
      </c>
      <c r="E45" s="9" t="s">
        <v>146</v>
      </c>
      <c r="F45" s="16" t="str">
        <f>_xlfn.DISPIMG("ID_A08A3E53B23948B3A912CDAF049CD863",1)</f>
        <v>=DISPIMG("ID_A08A3E53B23948B3A912CDAF049CD863",1)</v>
      </c>
      <c r="G45" s="9" t="s">
        <v>14</v>
      </c>
      <c r="H45" s="18">
        <v>16</v>
      </c>
    </row>
    <row r="46" ht="57" customHeight="1" spans="1:8">
      <c r="A46" s="6" t="s">
        <v>147</v>
      </c>
      <c r="B46" s="6" t="s">
        <v>140</v>
      </c>
      <c r="C46" s="6" t="s">
        <v>148</v>
      </c>
      <c r="D46" s="6" t="s">
        <v>142</v>
      </c>
      <c r="E46" s="6" t="s">
        <v>148</v>
      </c>
      <c r="F46" s="16" t="str">
        <f>_xlfn.DISPIMG("ID_A08A3E53B23948B3A912CDAF049CD863",1)</f>
        <v>=DISPIMG("ID_A08A3E53B23948B3A912CDAF049CD863",1)</v>
      </c>
      <c r="G46" s="17" t="s">
        <v>14</v>
      </c>
      <c r="H46" s="17">
        <v>16</v>
      </c>
    </row>
    <row r="47" ht="57" customHeight="1" spans="1:8">
      <c r="A47" s="6" t="s">
        <v>149</v>
      </c>
      <c r="B47" s="6" t="s">
        <v>140</v>
      </c>
      <c r="C47" s="6" t="s">
        <v>146</v>
      </c>
      <c r="D47" s="6" t="s">
        <v>142</v>
      </c>
      <c r="E47" s="6" t="s">
        <v>146</v>
      </c>
      <c r="F47" s="5"/>
      <c r="G47" s="17" t="s">
        <v>14</v>
      </c>
      <c r="H47" s="17">
        <v>3</v>
      </c>
    </row>
    <row r="48" ht="57" customHeight="1" spans="1:8">
      <c r="A48" s="6" t="s">
        <v>150</v>
      </c>
      <c r="B48" s="6" t="s">
        <v>140</v>
      </c>
      <c r="C48" s="6" t="s">
        <v>146</v>
      </c>
      <c r="D48" s="6" t="s">
        <v>142</v>
      </c>
      <c r="E48" s="6" t="s">
        <v>146</v>
      </c>
      <c r="F48" s="5" t="str">
        <f>_xlfn.DISPIMG("ID_34409E92535C4DDF8BCF2CBF7DFF66AA",1)</f>
        <v>=DISPIMG("ID_34409E92535C4DDF8BCF2CBF7DFF66AA",1)</v>
      </c>
      <c r="G48" s="17" t="s">
        <v>14</v>
      </c>
      <c r="H48" s="17">
        <v>4</v>
      </c>
    </row>
    <row r="49" ht="57" customHeight="1" spans="1:8">
      <c r="A49" s="6" t="s">
        <v>151</v>
      </c>
      <c r="B49" s="6" t="s">
        <v>140</v>
      </c>
      <c r="C49" s="6" t="s">
        <v>152</v>
      </c>
      <c r="D49" s="6" t="s">
        <v>142</v>
      </c>
      <c r="E49" s="6" t="s">
        <v>152</v>
      </c>
      <c r="F49" s="5" t="str">
        <f>_xlfn.DISPIMG("ID_B597F416EAA54AD6922AF6738C2FDAC7",1)</f>
        <v>=DISPIMG("ID_B597F416EAA54AD6922AF6738C2FDAC7",1)</v>
      </c>
      <c r="G49" s="17" t="s">
        <v>14</v>
      </c>
      <c r="H49" s="17">
        <v>24</v>
      </c>
    </row>
    <row r="50" ht="57" customHeight="1" spans="1:8">
      <c r="A50" s="6" t="s">
        <v>153</v>
      </c>
      <c r="B50" s="6" t="s">
        <v>140</v>
      </c>
      <c r="C50" s="6" t="s">
        <v>154</v>
      </c>
      <c r="D50" s="6" t="s">
        <v>142</v>
      </c>
      <c r="E50" s="6" t="s">
        <v>154</v>
      </c>
      <c r="F50" s="5" t="str">
        <f>_xlfn.DISPIMG("ID_9FF80DBA63114C5D9FB3802B70D21531",1)</f>
        <v>=DISPIMG("ID_9FF80DBA63114C5D9FB3802B70D21531",1)</v>
      </c>
      <c r="G50" s="17" t="s">
        <v>14</v>
      </c>
      <c r="H50" s="17">
        <v>8</v>
      </c>
    </row>
    <row r="51" ht="57" customHeight="1" spans="1:8">
      <c r="A51" s="6" t="s">
        <v>155</v>
      </c>
      <c r="B51" s="6" t="s">
        <v>140</v>
      </c>
      <c r="C51" s="6" t="s">
        <v>156</v>
      </c>
      <c r="D51" s="6" t="s">
        <v>142</v>
      </c>
      <c r="E51" s="6" t="s">
        <v>156</v>
      </c>
      <c r="F51" s="5" t="str">
        <f>_xlfn.DISPIMG("ID_459ED669E49A41F8AC9B151F639A53F2",1)</f>
        <v>=DISPIMG("ID_459ED669E49A41F8AC9B151F639A53F2",1)</v>
      </c>
      <c r="G51" s="17" t="s">
        <v>14</v>
      </c>
      <c r="H51" s="17">
        <v>16</v>
      </c>
    </row>
    <row r="52" ht="57" customHeight="1" spans="1:8">
      <c r="A52" s="6" t="s">
        <v>157</v>
      </c>
      <c r="B52" s="6" t="s">
        <v>140</v>
      </c>
      <c r="C52" s="6" t="s">
        <v>158</v>
      </c>
      <c r="D52" s="6" t="s">
        <v>142</v>
      </c>
      <c r="E52" s="6" t="s">
        <v>158</v>
      </c>
      <c r="F52" s="5" t="str">
        <f>_xlfn.DISPIMG("ID_C31A39A243FD470BA494A6921B503812",1)</f>
        <v>=DISPIMG("ID_C31A39A243FD470BA494A6921B503812",1)</v>
      </c>
      <c r="G52" s="17" t="s">
        <v>14</v>
      </c>
      <c r="H52" s="17">
        <v>32</v>
      </c>
    </row>
    <row r="53" ht="57" customHeight="1" spans="1:8">
      <c r="A53" s="6" t="s">
        <v>159</v>
      </c>
      <c r="B53" s="6" t="s">
        <v>140</v>
      </c>
      <c r="C53" s="6" t="s">
        <v>146</v>
      </c>
      <c r="D53" s="6" t="s">
        <v>142</v>
      </c>
      <c r="E53" s="6" t="s">
        <v>146</v>
      </c>
      <c r="F53" s="5" t="str">
        <f>_xlfn.DISPIMG("ID_BEB15390F24F477A89A5DC70F163E4F7",1)</f>
        <v>=DISPIMG("ID_BEB15390F24F477A89A5DC70F163E4F7",1)</v>
      </c>
      <c r="G53" s="17" t="s">
        <v>14</v>
      </c>
      <c r="H53" s="17">
        <v>4</v>
      </c>
    </row>
    <row r="54" ht="57" customHeight="1" spans="1:8">
      <c r="A54" s="6" t="s">
        <v>160</v>
      </c>
      <c r="B54" s="6" t="s">
        <v>140</v>
      </c>
      <c r="C54" s="6" t="s">
        <v>156</v>
      </c>
      <c r="D54" s="6" t="s">
        <v>142</v>
      </c>
      <c r="E54" s="6" t="s">
        <v>156</v>
      </c>
      <c r="F54" s="5" t="str">
        <f>_xlfn.DISPIMG("ID_E4D55E9159564FBDBC565C928992BBC8",1)</f>
        <v>=DISPIMG("ID_E4D55E9159564FBDBC565C928992BBC8",1)</v>
      </c>
      <c r="G54" s="17" t="s">
        <v>14</v>
      </c>
      <c r="H54" s="17">
        <v>8</v>
      </c>
    </row>
    <row r="55" ht="57" customHeight="1" spans="1:8">
      <c r="A55" s="6" t="s">
        <v>161</v>
      </c>
      <c r="B55" s="6" t="s">
        <v>162</v>
      </c>
      <c r="C55" s="6" t="s">
        <v>163</v>
      </c>
      <c r="D55" s="6" t="s">
        <v>164</v>
      </c>
      <c r="E55" s="5"/>
      <c r="F55" s="5" t="str">
        <f>_xlfn.DISPIMG("ID_F83C636F51114EB2A8890C2308F11542",1)</f>
        <v>=DISPIMG("ID_F83C636F51114EB2A8890C2308F11542",1)</v>
      </c>
      <c r="G55" s="17" t="s">
        <v>165</v>
      </c>
      <c r="H55" s="17">
        <v>7</v>
      </c>
    </row>
    <row r="56" ht="57" customHeight="1" spans="1:8">
      <c r="A56" s="6" t="s">
        <v>166</v>
      </c>
      <c r="B56" s="6" t="s">
        <v>167</v>
      </c>
      <c r="C56" s="6" t="s">
        <v>168</v>
      </c>
      <c r="D56" s="6" t="s">
        <v>169</v>
      </c>
      <c r="E56" s="5" t="s">
        <v>170</v>
      </c>
      <c r="F56" s="5" t="str">
        <f>_xlfn.DISPIMG("ID_773C7FB128794E2DA7559D11DDC9BFD0",1)</f>
        <v>=DISPIMG("ID_773C7FB128794E2DA7559D11DDC9BFD0",1)</v>
      </c>
      <c r="G56" s="17" t="s">
        <v>171</v>
      </c>
      <c r="H56" s="17">
        <v>2</v>
      </c>
    </row>
    <row r="57" ht="57" customHeight="1" spans="1:8">
      <c r="A57" s="6" t="s">
        <v>172</v>
      </c>
      <c r="B57" s="6" t="s">
        <v>173</v>
      </c>
      <c r="C57" s="6" t="s">
        <v>174</v>
      </c>
      <c r="D57" s="6" t="s">
        <v>164</v>
      </c>
      <c r="E57" s="5" t="s">
        <v>175</v>
      </c>
      <c r="F57" s="5" t="str">
        <f>_xlfn.DISPIMG("ID_00CBF94E00744DFE8BA20D69EB5215E7",1)</f>
        <v>=DISPIMG("ID_00CBF94E00744DFE8BA20D69EB5215E7",1)</v>
      </c>
      <c r="G57" s="17" t="s">
        <v>44</v>
      </c>
      <c r="H57" s="17">
        <v>4</v>
      </c>
    </row>
    <row r="58" ht="57" customHeight="1" spans="1:8">
      <c r="A58" s="6" t="s">
        <v>176</v>
      </c>
      <c r="B58" s="6" t="s">
        <v>173</v>
      </c>
      <c r="C58" s="6" t="s">
        <v>177</v>
      </c>
      <c r="D58" s="6" t="s">
        <v>164</v>
      </c>
      <c r="E58" s="5" t="s">
        <v>175</v>
      </c>
      <c r="F58" s="5" t="str">
        <f>_xlfn.DISPIMG("ID_8427022559184C4DA953D7F227DEA1CE",1)</f>
        <v>=DISPIMG("ID_8427022559184C4DA953D7F227DEA1CE",1)</v>
      </c>
      <c r="G58" s="17" t="s">
        <v>44</v>
      </c>
      <c r="H58" s="17">
        <v>2</v>
      </c>
    </row>
    <row r="59" ht="57" customHeight="1" spans="1:8">
      <c r="A59" s="6" t="s">
        <v>178</v>
      </c>
      <c r="B59" s="6" t="s">
        <v>173</v>
      </c>
      <c r="C59" s="6" t="s">
        <v>179</v>
      </c>
      <c r="D59" s="6" t="s">
        <v>12</v>
      </c>
      <c r="E59" s="5" t="s">
        <v>175</v>
      </c>
      <c r="F59" s="5" t="str">
        <f>_xlfn.DISPIMG("ID_BBE94D4B00224CC4A02CAF8028394521",1)</f>
        <v>=DISPIMG("ID_BBE94D4B00224CC4A02CAF8028394521",1)</v>
      </c>
      <c r="G59" s="17" t="s">
        <v>44</v>
      </c>
      <c r="H59" s="17">
        <v>1</v>
      </c>
    </row>
    <row r="60" ht="57" customHeight="1" spans="1:8">
      <c r="A60" s="6" t="s">
        <v>180</v>
      </c>
      <c r="B60" s="6" t="s">
        <v>173</v>
      </c>
      <c r="C60" s="6" t="s">
        <v>181</v>
      </c>
      <c r="D60" s="6" t="s">
        <v>12</v>
      </c>
      <c r="E60" s="5" t="s">
        <v>175</v>
      </c>
      <c r="F60" s="5" t="str">
        <f>_xlfn.DISPIMG("ID_26D246DF5F1D445C899A177CE6A6F00A",1)</f>
        <v>=DISPIMG("ID_26D246DF5F1D445C899A177CE6A6F00A",1)</v>
      </c>
      <c r="G60" s="17" t="s">
        <v>44</v>
      </c>
      <c r="H60" s="17">
        <v>1</v>
      </c>
    </row>
    <row r="61" ht="57" customHeight="1" spans="1:8">
      <c r="A61" s="6" t="s">
        <v>182</v>
      </c>
      <c r="B61" s="6" t="s">
        <v>173</v>
      </c>
      <c r="C61" s="6" t="s">
        <v>183</v>
      </c>
      <c r="D61" s="6" t="s">
        <v>12</v>
      </c>
      <c r="E61" s="5" t="s">
        <v>175</v>
      </c>
      <c r="F61" s="5" t="str">
        <f>_xlfn.DISPIMG("ID_A770C8F899244D0FBCDED21D40B4DA63",1)</f>
        <v>=DISPIMG("ID_A770C8F899244D0FBCDED21D40B4DA63",1)</v>
      </c>
      <c r="G61" s="17" t="s">
        <v>44</v>
      </c>
      <c r="H61" s="17">
        <v>1</v>
      </c>
    </row>
    <row r="62" ht="57" customHeight="1" spans="1:8">
      <c r="A62" s="6" t="s">
        <v>184</v>
      </c>
      <c r="B62" s="6" t="s">
        <v>173</v>
      </c>
      <c r="C62" s="6" t="s">
        <v>185</v>
      </c>
      <c r="D62" s="6" t="s">
        <v>12</v>
      </c>
      <c r="E62" s="5" t="s">
        <v>186</v>
      </c>
      <c r="F62" s="5" t="str">
        <f>_xlfn.DISPIMG("ID_CED94BE1EF0C46BF91D1BFB6F8FCCB4D",1)</f>
        <v>=DISPIMG("ID_CED94BE1EF0C46BF91D1BFB6F8FCCB4D",1)</v>
      </c>
      <c r="G62" s="17" t="s">
        <v>44</v>
      </c>
      <c r="H62" s="17">
        <v>1</v>
      </c>
    </row>
    <row r="63" ht="57" customHeight="1" spans="1:8">
      <c r="A63" s="6" t="s">
        <v>187</v>
      </c>
      <c r="B63" s="6" t="s">
        <v>162</v>
      </c>
      <c r="C63" s="6" t="s">
        <v>188</v>
      </c>
      <c r="D63" s="6" t="s">
        <v>164</v>
      </c>
      <c r="E63" s="5" t="s">
        <v>189</v>
      </c>
      <c r="F63" s="5" t="str">
        <f>_xlfn.DISPIMG("ID_61BD018019C6428E893F180DB3AE17B0",1)</f>
        <v>=DISPIMG("ID_61BD018019C6428E893F180DB3AE17B0",1)</v>
      </c>
      <c r="G63" s="17" t="s">
        <v>44</v>
      </c>
      <c r="H63" s="17">
        <v>2</v>
      </c>
    </row>
    <row r="64" ht="57" customHeight="1" spans="1:8">
      <c r="A64" s="6" t="s">
        <v>190</v>
      </c>
      <c r="B64" s="6" t="s">
        <v>191</v>
      </c>
      <c r="C64" s="6" t="s">
        <v>192</v>
      </c>
      <c r="D64" s="6" t="s">
        <v>164</v>
      </c>
      <c r="E64" s="5" t="s">
        <v>193</v>
      </c>
      <c r="F64" s="5" t="str">
        <f>_xlfn.DISPIMG("ID_44DDC31F0548484788ED6D2A67640F9E",1)</f>
        <v>=DISPIMG("ID_44DDC31F0548484788ED6D2A67640F9E",1)</v>
      </c>
      <c r="G64" s="17" t="s">
        <v>44</v>
      </c>
      <c r="H64" s="17">
        <v>2</v>
      </c>
    </row>
    <row r="65" ht="57" customHeight="1" spans="1:8">
      <c r="A65" s="6" t="s">
        <v>194</v>
      </c>
      <c r="B65" s="6" t="s">
        <v>195</v>
      </c>
      <c r="C65" s="6" t="s">
        <v>196</v>
      </c>
      <c r="D65" s="6" t="s">
        <v>12</v>
      </c>
      <c r="E65" s="5" t="s">
        <v>197</v>
      </c>
      <c r="F65" s="5" t="str">
        <f>_xlfn.DISPIMG("ID_8C101F95FF52468FBB14346AA28D8A41",1)</f>
        <v>=DISPIMG("ID_8C101F95FF52468FBB14346AA28D8A41",1)</v>
      </c>
      <c r="G65" s="17" t="s">
        <v>44</v>
      </c>
      <c r="H65" s="17">
        <v>3</v>
      </c>
    </row>
    <row r="66" ht="57" customHeight="1" spans="1:8">
      <c r="A66" s="6" t="s">
        <v>198</v>
      </c>
      <c r="B66" s="6" t="s">
        <v>199</v>
      </c>
      <c r="C66" s="6" t="s">
        <v>200</v>
      </c>
      <c r="D66" s="6" t="s">
        <v>201</v>
      </c>
      <c r="E66" s="5" t="s">
        <v>175</v>
      </c>
      <c r="F66" s="5" t="str">
        <f>_xlfn.DISPIMG("ID_99616E004FB040068E5167C8977A1F46",1)</f>
        <v>=DISPIMG("ID_99616E004FB040068E5167C8977A1F46",1)</v>
      </c>
      <c r="G66" s="17" t="s">
        <v>44</v>
      </c>
      <c r="H66" s="17">
        <v>1</v>
      </c>
    </row>
    <row r="67" ht="57" customHeight="1" spans="1:8">
      <c r="A67" s="6" t="s">
        <v>202</v>
      </c>
      <c r="B67" s="6" t="s">
        <v>199</v>
      </c>
      <c r="C67" s="6" t="s">
        <v>203</v>
      </c>
      <c r="D67" s="6" t="s">
        <v>201</v>
      </c>
      <c r="E67" s="5" t="s">
        <v>175</v>
      </c>
      <c r="F67" s="5" t="str">
        <f>_xlfn.DISPIMG("ID_7C1D28029FF74DEC82893E86010E3876",1)</f>
        <v>=DISPIMG("ID_7C1D28029FF74DEC82893E86010E3876",1)</v>
      </c>
      <c r="G67" s="17" t="s">
        <v>44</v>
      </c>
      <c r="H67" s="17">
        <v>1</v>
      </c>
    </row>
    <row r="68" ht="57" customHeight="1" spans="1:8">
      <c r="A68" s="6" t="s">
        <v>204</v>
      </c>
      <c r="B68" s="6" t="s">
        <v>199</v>
      </c>
      <c r="C68" s="6" t="s">
        <v>205</v>
      </c>
      <c r="D68" s="6" t="s">
        <v>206</v>
      </c>
      <c r="E68" s="5" t="s">
        <v>175</v>
      </c>
      <c r="F68" s="5" t="str">
        <f>_xlfn.DISPIMG("ID_016C9E93FA074234B90748944ACDB21B",1)</f>
        <v>=DISPIMG("ID_016C9E93FA074234B90748944ACDB21B",1)</v>
      </c>
      <c r="G68" s="17" t="s">
        <v>44</v>
      </c>
      <c r="H68" s="17">
        <v>1</v>
      </c>
    </row>
    <row r="69" ht="57" customHeight="1" spans="1:8">
      <c r="A69" s="6" t="s">
        <v>207</v>
      </c>
      <c r="B69" s="6" t="s">
        <v>208</v>
      </c>
      <c r="C69" s="6" t="s">
        <v>209</v>
      </c>
      <c r="D69" s="6" t="s">
        <v>206</v>
      </c>
      <c r="E69" s="5" t="s">
        <v>210</v>
      </c>
      <c r="F69" s="5" t="str">
        <f>_xlfn.DISPIMG("ID_030502C363D14AEC8279EAAD9093D914",1)</f>
        <v>=DISPIMG("ID_030502C363D14AEC8279EAAD9093D914",1)</v>
      </c>
      <c r="G69" s="17" t="s">
        <v>44</v>
      </c>
      <c r="H69" s="17">
        <v>1</v>
      </c>
    </row>
    <row r="70" ht="57" customHeight="1" spans="1:8">
      <c r="A70" s="6" t="s">
        <v>211</v>
      </c>
      <c r="B70" s="6" t="s">
        <v>212</v>
      </c>
      <c r="C70" s="6" t="s">
        <v>213</v>
      </c>
      <c r="D70" s="6" t="s">
        <v>206</v>
      </c>
      <c r="E70" s="5" t="s">
        <v>210</v>
      </c>
      <c r="F70" s="5" t="str">
        <f>_xlfn.DISPIMG("ID_ED03410836A341668B8D2E7C6FC1DE76",1)</f>
        <v>=DISPIMG("ID_ED03410836A341668B8D2E7C6FC1DE76",1)</v>
      </c>
      <c r="G70" s="17" t="s">
        <v>44</v>
      </c>
      <c r="H70" s="17">
        <v>1</v>
      </c>
    </row>
    <row r="71" ht="57" customHeight="1" spans="1:8">
      <c r="A71" s="6" t="s">
        <v>214</v>
      </c>
      <c r="B71" s="6" t="s">
        <v>215</v>
      </c>
      <c r="C71" s="6" t="s">
        <v>216</v>
      </c>
      <c r="D71" s="6" t="s">
        <v>206</v>
      </c>
      <c r="E71" s="5" t="s">
        <v>210</v>
      </c>
      <c r="F71" s="5" t="str">
        <f>_xlfn.DISPIMG("ID_5971E80E16FB499493D256C7D2D7C118",1)</f>
        <v>=DISPIMG("ID_5971E80E16FB499493D256C7D2D7C118",1)</v>
      </c>
      <c r="G71" s="17" t="s">
        <v>44</v>
      </c>
      <c r="H71" s="17">
        <v>1</v>
      </c>
    </row>
    <row r="72" ht="57" customHeight="1" spans="1:8">
      <c r="A72" s="6" t="s">
        <v>217</v>
      </c>
      <c r="B72" s="6" t="s">
        <v>218</v>
      </c>
      <c r="C72" s="6" t="s">
        <v>219</v>
      </c>
      <c r="D72" s="6" t="s">
        <v>164</v>
      </c>
      <c r="E72" s="5" t="s">
        <v>220</v>
      </c>
      <c r="F72" s="5" t="str">
        <f>_xlfn.DISPIMG("ID_78B20FE3C247422BB1367CC8C6E9A35D",1)</f>
        <v>=DISPIMG("ID_78B20FE3C247422BB1367CC8C6E9A35D",1)</v>
      </c>
      <c r="G72" s="17" t="s">
        <v>44</v>
      </c>
      <c r="H72" s="17">
        <v>2</v>
      </c>
    </row>
    <row r="73" ht="57" customHeight="1" spans="1:8">
      <c r="A73" s="6" t="s">
        <v>221</v>
      </c>
      <c r="B73" s="6" t="s">
        <v>222</v>
      </c>
      <c r="C73" s="6" t="s">
        <v>223</v>
      </c>
      <c r="D73" s="6" t="s">
        <v>164</v>
      </c>
      <c r="E73" s="5" t="s">
        <v>224</v>
      </c>
      <c r="F73" s="5" t="str">
        <f>_xlfn.DISPIMG("ID_510E6FCD398C49D2B86C2AABDD7BD6E4",1)</f>
        <v>=DISPIMG("ID_510E6FCD398C49D2B86C2AABDD7BD6E4",1)</v>
      </c>
      <c r="G73" s="17" t="s">
        <v>44</v>
      </c>
      <c r="H73" s="17">
        <v>2</v>
      </c>
    </row>
    <row r="74" ht="57" customHeight="1" spans="1:8">
      <c r="A74" s="6" t="s">
        <v>225</v>
      </c>
      <c r="B74" s="6" t="s">
        <v>226</v>
      </c>
      <c r="C74" s="6" t="s">
        <v>227</v>
      </c>
      <c r="D74" s="6" t="s">
        <v>164</v>
      </c>
      <c r="E74" s="5" t="s">
        <v>228</v>
      </c>
      <c r="F74" s="5" t="str">
        <f>_xlfn.DISPIMG("ID_342FD90C8DD047C5850026D0F4E3062D",1)</f>
        <v>=DISPIMG("ID_342FD90C8DD047C5850026D0F4E3062D",1)</v>
      </c>
      <c r="G74" s="17" t="s">
        <v>44</v>
      </c>
      <c r="H74" s="17">
        <v>2</v>
      </c>
    </row>
    <row r="75" ht="57" customHeight="1" spans="1:8">
      <c r="A75" s="6" t="s">
        <v>229</v>
      </c>
      <c r="B75" s="6" t="s">
        <v>230</v>
      </c>
      <c r="C75" s="6" t="s">
        <v>231</v>
      </c>
      <c r="D75" s="6" t="s">
        <v>164</v>
      </c>
      <c r="E75" s="5" t="s">
        <v>232</v>
      </c>
      <c r="F75" s="5" t="str">
        <f>_xlfn.DISPIMG("ID_6554EA5DAF224034A4D1422D7D9DBEB1",1)</f>
        <v>=DISPIMG("ID_6554EA5DAF224034A4D1422D7D9DBEB1",1)</v>
      </c>
      <c r="G75" s="17" t="s">
        <v>44</v>
      </c>
      <c r="H75" s="17">
        <v>2</v>
      </c>
    </row>
    <row r="76" ht="57" customHeight="1" spans="1:8">
      <c r="A76" s="6" t="s">
        <v>233</v>
      </c>
      <c r="B76" s="6" t="s">
        <v>230</v>
      </c>
      <c r="C76" s="6" t="s">
        <v>234</v>
      </c>
      <c r="D76" s="6" t="s">
        <v>164</v>
      </c>
      <c r="E76" s="5" t="s">
        <v>232</v>
      </c>
      <c r="F76" s="5" t="str">
        <f>_xlfn.DISPIMG("ID_6725879D2DCD4D55A714C6EBFE67FABE",1)</f>
        <v>=DISPIMG("ID_6725879D2DCD4D55A714C6EBFE67FABE",1)</v>
      </c>
      <c r="G76" s="17" t="s">
        <v>44</v>
      </c>
      <c r="H76" s="17">
        <v>2</v>
      </c>
    </row>
    <row r="77" ht="57" customHeight="1" spans="1:8">
      <c r="A77" s="6" t="s">
        <v>235</v>
      </c>
      <c r="B77" s="6" t="s">
        <v>230</v>
      </c>
      <c r="C77" s="6" t="s">
        <v>236</v>
      </c>
      <c r="D77" s="6" t="s">
        <v>164</v>
      </c>
      <c r="E77" s="5" t="s">
        <v>175</v>
      </c>
      <c r="F77" s="5" t="str">
        <f>_xlfn.DISPIMG("ID_E29EFFD0B76D4A60AD560A1814BAFC70",1)</f>
        <v>=DISPIMG("ID_E29EFFD0B76D4A60AD560A1814BAFC70",1)</v>
      </c>
      <c r="G77" s="17" t="s">
        <v>44</v>
      </c>
      <c r="H77" s="17">
        <v>2</v>
      </c>
    </row>
    <row r="78" ht="57" customHeight="1" spans="1:8">
      <c r="A78" s="6" t="s">
        <v>237</v>
      </c>
      <c r="B78" s="6" t="s">
        <v>238</v>
      </c>
      <c r="C78" s="6" t="s">
        <v>239</v>
      </c>
      <c r="D78" s="6" t="s">
        <v>240</v>
      </c>
      <c r="E78" s="5" t="s">
        <v>241</v>
      </c>
      <c r="F78" s="5" t="str">
        <f>_xlfn.DISPIMG("ID_4C00E2CC0AE1475486617D0EAAAB3D14",1)</f>
        <v>=DISPIMG("ID_4C00E2CC0AE1475486617D0EAAAB3D14",1)</v>
      </c>
      <c r="G78" s="17" t="s">
        <v>44</v>
      </c>
      <c r="H78" s="17">
        <v>2</v>
      </c>
    </row>
    <row r="79" ht="57" customHeight="1" spans="1:8">
      <c r="A79" s="6" t="s">
        <v>242</v>
      </c>
      <c r="B79" s="6" t="s">
        <v>243</v>
      </c>
      <c r="C79" s="6" t="s">
        <v>244</v>
      </c>
      <c r="D79" s="6" t="s">
        <v>240</v>
      </c>
      <c r="E79" s="5" t="s">
        <v>241</v>
      </c>
      <c r="F79" s="5" t="str">
        <f>_xlfn.DISPIMG("ID_77B1A7F8C4BF43029BFD86C366B61149",1)</f>
        <v>=DISPIMG("ID_77B1A7F8C4BF43029BFD86C366B61149",1)</v>
      </c>
      <c r="G79" s="17" t="s">
        <v>44</v>
      </c>
      <c r="H79" s="17">
        <v>2</v>
      </c>
    </row>
    <row r="80" ht="57" customHeight="1" spans="1:8">
      <c r="A80" s="6" t="s">
        <v>245</v>
      </c>
      <c r="B80" s="6" t="s">
        <v>246</v>
      </c>
      <c r="C80" s="6" t="s">
        <v>247</v>
      </c>
      <c r="D80" s="6" t="s">
        <v>240</v>
      </c>
      <c r="E80" s="5" t="s">
        <v>241</v>
      </c>
      <c r="F80" s="5" t="str">
        <f>_xlfn.DISPIMG("ID_990CB3C0D41245E485F5BB1CC47A0409",1)</f>
        <v>=DISPIMG("ID_990CB3C0D41245E485F5BB1CC47A0409",1)</v>
      </c>
      <c r="G80" s="17" t="s">
        <v>44</v>
      </c>
      <c r="H80" s="17">
        <v>2</v>
      </c>
    </row>
    <row r="81" ht="57" customHeight="1" spans="1:8">
      <c r="A81" s="6" t="s">
        <v>248</v>
      </c>
      <c r="B81" s="6" t="s">
        <v>249</v>
      </c>
      <c r="C81" s="6" t="s">
        <v>250</v>
      </c>
      <c r="D81" s="6" t="s">
        <v>164</v>
      </c>
      <c r="E81" s="5" t="s">
        <v>251</v>
      </c>
      <c r="F81" s="5" t="str">
        <f>_xlfn.DISPIMG("ID_A218DDFD1F9E45FF88DCD07905744DF1",1)</f>
        <v>=DISPIMG("ID_A218DDFD1F9E45FF88DCD07905744DF1",1)</v>
      </c>
      <c r="G81" s="17" t="s">
        <v>44</v>
      </c>
      <c r="H81" s="17">
        <v>2</v>
      </c>
    </row>
    <row r="82" ht="57" customHeight="1" spans="1:8">
      <c r="A82" s="6" t="s">
        <v>252</v>
      </c>
      <c r="B82" s="6" t="s">
        <v>253</v>
      </c>
      <c r="C82" s="6" t="s">
        <v>254</v>
      </c>
      <c r="D82" s="6" t="s">
        <v>164</v>
      </c>
      <c r="E82" s="5" t="s">
        <v>255</v>
      </c>
      <c r="F82" s="5" t="str">
        <f>_xlfn.DISPIMG("ID_14C1A846DF214478A65B1A450BFD31B0",1)</f>
        <v>=DISPIMG("ID_14C1A846DF214478A65B1A450BFD31B0",1)</v>
      </c>
      <c r="G82" s="17" t="s">
        <v>44</v>
      </c>
      <c r="H82" s="17">
        <v>2</v>
      </c>
    </row>
    <row r="83" ht="57" customHeight="1" spans="1:8">
      <c r="A83" s="6" t="s">
        <v>256</v>
      </c>
      <c r="B83" s="6" t="s">
        <v>257</v>
      </c>
      <c r="C83" s="6" t="s">
        <v>258</v>
      </c>
      <c r="D83" s="6" t="s">
        <v>12</v>
      </c>
      <c r="E83" s="5" t="s">
        <v>259</v>
      </c>
      <c r="F83" s="5" t="str">
        <f>_xlfn.DISPIMG("ID_4F07C61F796A4DAA95C1A7C4DD034F87",1)</f>
        <v>=DISPIMG("ID_4F07C61F796A4DAA95C1A7C4DD034F87",1)</v>
      </c>
      <c r="G83" s="17" t="s">
        <v>44</v>
      </c>
      <c r="H83" s="17">
        <v>2</v>
      </c>
    </row>
    <row r="84" ht="57" customHeight="1" spans="1:8">
      <c r="A84" s="6" t="s">
        <v>260</v>
      </c>
      <c r="B84" s="6" t="s">
        <v>261</v>
      </c>
      <c r="C84" s="6" t="s">
        <v>262</v>
      </c>
      <c r="D84" s="6" t="s">
        <v>12</v>
      </c>
      <c r="E84" s="5" t="s">
        <v>241</v>
      </c>
      <c r="F84" s="5" t="str">
        <f>_xlfn.DISPIMG("ID_6F21763700C94C5FBC99B39CEE20C445",1)</f>
        <v>=DISPIMG("ID_6F21763700C94C5FBC99B39CEE20C445",1)</v>
      </c>
      <c r="G84" s="17" t="s">
        <v>44</v>
      </c>
      <c r="H84" s="17">
        <v>2</v>
      </c>
    </row>
    <row r="85" ht="57" customHeight="1" spans="1:8">
      <c r="A85" s="6" t="s">
        <v>263</v>
      </c>
      <c r="B85" s="6" t="s">
        <v>264</v>
      </c>
      <c r="C85" s="6" t="s">
        <v>265</v>
      </c>
      <c r="D85" s="6" t="s">
        <v>266</v>
      </c>
      <c r="E85" s="5" t="s">
        <v>267</v>
      </c>
      <c r="F85" s="5" t="str">
        <f>_xlfn.DISPIMG("ID_BAD7C32EAD534DEAA5EAA50396369E2E",1)</f>
        <v>=DISPIMG("ID_BAD7C32EAD534DEAA5EAA50396369E2E",1)</v>
      </c>
      <c r="G85" s="17" t="s">
        <v>44</v>
      </c>
      <c r="H85" s="17">
        <v>2</v>
      </c>
    </row>
    <row r="86" ht="57" customHeight="1" spans="1:8">
      <c r="A86" s="6" t="s">
        <v>268</v>
      </c>
      <c r="B86" s="6" t="s">
        <v>269</v>
      </c>
      <c r="C86" s="6" t="s">
        <v>270</v>
      </c>
      <c r="D86" s="6" t="s">
        <v>201</v>
      </c>
      <c r="E86" s="5" t="s">
        <v>241</v>
      </c>
      <c r="F86" s="5" t="str">
        <f>_xlfn.DISPIMG("ID_9005478BD97340A7B73D9A8C540F298F",1)</f>
        <v>=DISPIMG("ID_9005478BD97340A7B73D9A8C540F298F",1)</v>
      </c>
      <c r="G86" s="17" t="s">
        <v>271</v>
      </c>
      <c r="H86" s="17">
        <v>2</v>
      </c>
    </row>
    <row r="87" ht="57" customHeight="1" spans="1:8">
      <c r="A87" s="6" t="s">
        <v>272</v>
      </c>
      <c r="B87" s="6" t="s">
        <v>269</v>
      </c>
      <c r="C87" s="6" t="s">
        <v>273</v>
      </c>
      <c r="D87" s="6" t="s">
        <v>201</v>
      </c>
      <c r="E87" s="5" t="s">
        <v>241</v>
      </c>
      <c r="F87" s="5" t="str">
        <f>_xlfn.DISPIMG("ID_E0246F09665D48FC85EFB3C684D0EACC",1)</f>
        <v>=DISPIMG("ID_E0246F09665D48FC85EFB3C684D0EACC",1)</v>
      </c>
      <c r="G87" s="17" t="s">
        <v>271</v>
      </c>
      <c r="H87" s="17">
        <v>2</v>
      </c>
    </row>
    <row r="88" ht="57" customHeight="1" spans="1:8">
      <c r="A88" s="6" t="s">
        <v>274</v>
      </c>
      <c r="B88" s="6" t="s">
        <v>269</v>
      </c>
      <c r="C88" s="6" t="s">
        <v>275</v>
      </c>
      <c r="D88" s="6" t="s">
        <v>201</v>
      </c>
      <c r="E88" s="5" t="s">
        <v>241</v>
      </c>
      <c r="F88" s="5" t="str">
        <f>_xlfn.DISPIMG("ID_D72DBDA8DD234B5A921802C259BA4B56",1)</f>
        <v>=DISPIMG("ID_D72DBDA8DD234B5A921802C259BA4B56",1)</v>
      </c>
      <c r="G88" s="17" t="s">
        <v>271</v>
      </c>
      <c r="H88" s="17">
        <v>2</v>
      </c>
    </row>
    <row r="89" ht="57" customHeight="1" spans="1:8">
      <c r="A89" s="6" t="s">
        <v>276</v>
      </c>
      <c r="B89" s="6" t="s">
        <v>277</v>
      </c>
      <c r="C89" s="6" t="s">
        <v>278</v>
      </c>
      <c r="D89" s="6" t="s">
        <v>240</v>
      </c>
      <c r="E89" s="5" t="s">
        <v>224</v>
      </c>
      <c r="F89" s="5" t="str">
        <f>_xlfn.DISPIMG("ID_82E727C23F2C4ADC8A1C208FD5DD0A53",1)</f>
        <v>=DISPIMG("ID_82E727C23F2C4ADC8A1C208FD5DD0A53",1)</v>
      </c>
      <c r="G89" s="17" t="s">
        <v>271</v>
      </c>
      <c r="H89" s="17">
        <v>2</v>
      </c>
    </row>
    <row r="90" ht="57" customHeight="1" spans="1:8">
      <c r="A90" s="6" t="s">
        <v>279</v>
      </c>
      <c r="B90" s="6" t="s">
        <v>277</v>
      </c>
      <c r="C90" s="19" t="s">
        <v>280</v>
      </c>
      <c r="D90" s="6" t="s">
        <v>240</v>
      </c>
      <c r="E90" s="5" t="s">
        <v>224</v>
      </c>
      <c r="F90" s="5" t="str">
        <f>_xlfn.DISPIMG("ID_067CFB6DD4CB48E68D46DD90BC8FC08E",1)</f>
        <v>=DISPIMG("ID_067CFB6DD4CB48E68D46DD90BC8FC08E",1)</v>
      </c>
      <c r="G90" s="17" t="s">
        <v>271</v>
      </c>
      <c r="H90" s="17">
        <v>2</v>
      </c>
    </row>
    <row r="91" ht="57" customHeight="1" spans="1:8">
      <c r="A91" s="6" t="s">
        <v>281</v>
      </c>
      <c r="B91" s="6" t="s">
        <v>277</v>
      </c>
      <c r="C91" s="6" t="s">
        <v>282</v>
      </c>
      <c r="D91" s="6" t="s">
        <v>240</v>
      </c>
      <c r="E91" s="5" t="s">
        <v>224</v>
      </c>
      <c r="F91" s="5" t="str">
        <f>_xlfn.DISPIMG("ID_27FE77F9F3514AE194E75FED1FAF891C",1)</f>
        <v>=DISPIMG("ID_27FE77F9F3514AE194E75FED1FAF891C",1)</v>
      </c>
      <c r="G91" s="17" t="s">
        <v>271</v>
      </c>
      <c r="H91" s="17">
        <v>2</v>
      </c>
    </row>
    <row r="92" ht="57" customHeight="1" spans="1:8">
      <c r="A92" s="6" t="s">
        <v>283</v>
      </c>
      <c r="B92" s="6" t="s">
        <v>277</v>
      </c>
      <c r="C92" s="6" t="s">
        <v>284</v>
      </c>
      <c r="D92" s="6" t="s">
        <v>240</v>
      </c>
      <c r="E92" s="5" t="s">
        <v>224</v>
      </c>
      <c r="F92" s="5" t="str">
        <f>_xlfn.DISPIMG("ID_04C0F2549D324EF38ABE8CAFEE329C3E",1)</f>
        <v>=DISPIMG("ID_04C0F2549D324EF38ABE8CAFEE329C3E",1)</v>
      </c>
      <c r="G92" s="17" t="s">
        <v>271</v>
      </c>
      <c r="H92" s="17">
        <v>2</v>
      </c>
    </row>
    <row r="93" ht="57" customHeight="1" spans="1:8">
      <c r="A93" s="6" t="s">
        <v>285</v>
      </c>
      <c r="B93" s="6" t="s">
        <v>277</v>
      </c>
      <c r="C93" s="6" t="s">
        <v>286</v>
      </c>
      <c r="D93" s="6" t="s">
        <v>240</v>
      </c>
      <c r="E93" s="5" t="s">
        <v>224</v>
      </c>
      <c r="F93" s="5" t="str">
        <f>_xlfn.DISPIMG("ID_410FE1798BEC462CAD11865BA774DD91",1)</f>
        <v>=DISPIMG("ID_410FE1798BEC462CAD11865BA774DD91",1)</v>
      </c>
      <c r="G93" s="17" t="s">
        <v>271</v>
      </c>
      <c r="H93" s="17">
        <v>2</v>
      </c>
    </row>
    <row r="94" ht="57" customHeight="1" spans="1:8">
      <c r="A94" s="6" t="s">
        <v>287</v>
      </c>
      <c r="B94" s="6" t="s">
        <v>277</v>
      </c>
      <c r="C94" s="6" t="s">
        <v>288</v>
      </c>
      <c r="D94" s="6" t="s">
        <v>240</v>
      </c>
      <c r="E94" s="5" t="s">
        <v>224</v>
      </c>
      <c r="F94" s="5" t="str">
        <f>_xlfn.DISPIMG("ID_C8A8974577D947909A4F26C0793E2CC4",1)</f>
        <v>=DISPIMG("ID_C8A8974577D947909A4F26C0793E2CC4",1)</v>
      </c>
      <c r="G94" s="17" t="s">
        <v>271</v>
      </c>
      <c r="H94" s="17">
        <v>2</v>
      </c>
    </row>
    <row r="95" ht="57" customHeight="1" spans="1:8">
      <c r="A95" s="6" t="s">
        <v>289</v>
      </c>
      <c r="B95" s="6" t="s">
        <v>277</v>
      </c>
      <c r="C95" s="6" t="s">
        <v>290</v>
      </c>
      <c r="D95" s="6" t="s">
        <v>240</v>
      </c>
      <c r="E95" s="5" t="s">
        <v>224</v>
      </c>
      <c r="F95" s="5" t="str">
        <f>_xlfn.DISPIMG("ID_03DE8335FF8947AFAD3DF0ADFD9DEB4E",1)</f>
        <v>=DISPIMG("ID_03DE8335FF8947AFAD3DF0ADFD9DEB4E",1)</v>
      </c>
      <c r="G95" s="17" t="s">
        <v>271</v>
      </c>
      <c r="H95" s="17">
        <v>2</v>
      </c>
    </row>
    <row r="96" ht="57" customHeight="1" spans="1:8">
      <c r="A96" s="6" t="s">
        <v>291</v>
      </c>
      <c r="B96" s="6" t="s">
        <v>277</v>
      </c>
      <c r="C96" s="19" t="s">
        <v>292</v>
      </c>
      <c r="D96" s="6" t="s">
        <v>240</v>
      </c>
      <c r="E96" s="5" t="s">
        <v>224</v>
      </c>
      <c r="F96" s="5" t="str">
        <f>_xlfn.DISPIMG("ID_375D30FBED86407DB4E923E70CD1926C",1)</f>
        <v>=DISPIMG("ID_375D30FBED86407DB4E923E70CD1926C",1)</v>
      </c>
      <c r="G96" s="17" t="s">
        <v>271</v>
      </c>
      <c r="H96" s="17">
        <v>2</v>
      </c>
    </row>
    <row r="97" ht="57" customHeight="1" spans="1:8">
      <c r="A97" s="6" t="s">
        <v>293</v>
      </c>
      <c r="B97" s="6" t="s">
        <v>294</v>
      </c>
      <c r="C97" s="6" t="s">
        <v>295</v>
      </c>
      <c r="D97" s="6" t="s">
        <v>12</v>
      </c>
      <c r="E97" s="5" t="s">
        <v>296</v>
      </c>
      <c r="F97" s="5" t="str">
        <f>_xlfn.DISPIMG("ID_0C3FE28C70054FE38C83B27F6981DB8B",1)</f>
        <v>=DISPIMG("ID_0C3FE28C70054FE38C83B27F6981DB8B",1)</v>
      </c>
      <c r="G97" s="17" t="s">
        <v>271</v>
      </c>
      <c r="H97" s="17">
        <v>2</v>
      </c>
    </row>
    <row r="98" ht="57" customHeight="1" spans="1:8">
      <c r="A98" s="6" t="s">
        <v>297</v>
      </c>
      <c r="B98" s="6" t="s">
        <v>294</v>
      </c>
      <c r="C98" s="6" t="s">
        <v>298</v>
      </c>
      <c r="D98" s="6" t="s">
        <v>299</v>
      </c>
      <c r="E98" s="5" t="s">
        <v>296</v>
      </c>
      <c r="F98" s="5" t="str">
        <f>_xlfn.DISPIMG("ID_91BD97D3F707441C997DD4375A2A065E",1)</f>
        <v>=DISPIMG("ID_91BD97D3F707441C997DD4375A2A065E",1)</v>
      </c>
      <c r="G98" s="17" t="s">
        <v>271</v>
      </c>
      <c r="H98" s="17">
        <v>1</v>
      </c>
    </row>
    <row r="99" ht="57" customHeight="1" spans="1:8">
      <c r="A99" s="6" t="s">
        <v>300</v>
      </c>
      <c r="B99" s="6" t="s">
        <v>294</v>
      </c>
      <c r="C99" s="6" t="s">
        <v>301</v>
      </c>
      <c r="D99" s="6" t="s">
        <v>299</v>
      </c>
      <c r="E99" s="5" t="s">
        <v>296</v>
      </c>
      <c r="F99" s="5" t="str">
        <f>_xlfn.DISPIMG("ID_9F61F51EFE5A4EF38AAD52AD2D358F2C",1)</f>
        <v>=DISPIMG("ID_9F61F51EFE5A4EF38AAD52AD2D358F2C",1)</v>
      </c>
      <c r="G99" s="17" t="s">
        <v>271</v>
      </c>
      <c r="H99" s="17">
        <v>1</v>
      </c>
    </row>
    <row r="100" ht="57" customHeight="1" spans="1:8">
      <c r="A100" s="6" t="s">
        <v>302</v>
      </c>
      <c r="B100" s="6" t="s">
        <v>303</v>
      </c>
      <c r="C100" s="6" t="s">
        <v>304</v>
      </c>
      <c r="D100" s="6" t="s">
        <v>164</v>
      </c>
      <c r="E100" s="5" t="s">
        <v>305</v>
      </c>
      <c r="F100" s="5" t="str">
        <f>_xlfn.DISPIMG("ID_31B7DD7F1F134CBF848F54CDBE9B801D",1)</f>
        <v>=DISPIMG("ID_31B7DD7F1F134CBF848F54CDBE9B801D",1)</v>
      </c>
      <c r="G100" s="17" t="s">
        <v>271</v>
      </c>
      <c r="H100" s="17">
        <v>2</v>
      </c>
    </row>
    <row r="101" ht="57" customHeight="1" spans="1:8">
      <c r="A101" s="6" t="s">
        <v>306</v>
      </c>
      <c r="B101" s="6" t="s">
        <v>307</v>
      </c>
      <c r="C101" s="6" t="s">
        <v>308</v>
      </c>
      <c r="D101" s="6" t="s">
        <v>164</v>
      </c>
      <c r="E101" s="5" t="s">
        <v>309</v>
      </c>
      <c r="F101" s="5" t="str">
        <f>_xlfn.DISPIMG("ID_1C094F6BF9AC4E2EB9E61140AE98A6C7",1)</f>
        <v>=DISPIMG("ID_1C094F6BF9AC4E2EB9E61140AE98A6C7",1)</v>
      </c>
      <c r="G101" s="17" t="s">
        <v>271</v>
      </c>
      <c r="H101" s="17">
        <v>2</v>
      </c>
    </row>
    <row r="102" ht="57" customHeight="1" spans="1:8">
      <c r="A102" s="6" t="s">
        <v>310</v>
      </c>
      <c r="B102" s="6" t="s">
        <v>311</v>
      </c>
      <c r="C102" s="6" t="s">
        <v>312</v>
      </c>
      <c r="D102" s="6" t="s">
        <v>164</v>
      </c>
      <c r="E102" s="5" t="s">
        <v>313</v>
      </c>
      <c r="F102" s="5" t="str">
        <f>_xlfn.DISPIMG("ID_ABD58D155F264FA6BBFD44E9F14B52B5",1)</f>
        <v>=DISPIMG("ID_ABD58D155F264FA6BBFD44E9F14B52B5",1)</v>
      </c>
      <c r="G102" s="17" t="s">
        <v>44</v>
      </c>
      <c r="H102" s="17">
        <v>1</v>
      </c>
    </row>
    <row r="103" ht="57" customHeight="1" spans="1:8">
      <c r="A103" s="6" t="s">
        <v>314</v>
      </c>
      <c r="B103" s="6" t="s">
        <v>311</v>
      </c>
      <c r="C103" s="6" t="s">
        <v>315</v>
      </c>
      <c r="D103" s="6" t="s">
        <v>316</v>
      </c>
      <c r="E103" s="5" t="s">
        <v>317</v>
      </c>
      <c r="F103" s="5" t="str">
        <f>_xlfn.DISPIMG("ID_A7125DEBF5DC4291AEF4CB77CE131896",1)</f>
        <v>=DISPIMG("ID_A7125DEBF5DC4291AEF4CB77CE131896",1)</v>
      </c>
      <c r="G103" s="17" t="s">
        <v>44</v>
      </c>
      <c r="H103" s="17">
        <v>2</v>
      </c>
    </row>
    <row r="104" ht="57" customHeight="1" spans="1:8">
      <c r="A104" s="6" t="s">
        <v>318</v>
      </c>
      <c r="B104" s="6" t="s">
        <v>319</v>
      </c>
      <c r="C104" s="6" t="s">
        <v>320</v>
      </c>
      <c r="D104" s="6" t="s">
        <v>266</v>
      </c>
      <c r="E104" s="5" t="s">
        <v>321</v>
      </c>
      <c r="F104" s="5" t="str">
        <f>_xlfn.DISPIMG("ID_95CF1935499C4DE7B85A90AB4A96133E",1)</f>
        <v>=DISPIMG("ID_95CF1935499C4DE7B85A90AB4A96133E",1)</v>
      </c>
      <c r="G104" s="17" t="s">
        <v>44</v>
      </c>
      <c r="H104" s="17">
        <v>2</v>
      </c>
    </row>
    <row r="105" ht="57" customHeight="1" spans="1:8">
      <c r="A105" s="6" t="s">
        <v>322</v>
      </c>
      <c r="B105" s="6" t="s">
        <v>323</v>
      </c>
      <c r="C105" s="6" t="s">
        <v>324</v>
      </c>
      <c r="D105" s="6" t="s">
        <v>325</v>
      </c>
      <c r="E105" s="5" t="s">
        <v>326</v>
      </c>
      <c r="F105" s="5" t="str">
        <f>_xlfn.DISPIMG("ID_58CC5A134C7544F2A3C18D00BDF75942",1)</f>
        <v>=DISPIMG("ID_58CC5A134C7544F2A3C18D00BDF75942",1)</v>
      </c>
      <c r="G105" s="17" t="s">
        <v>44</v>
      </c>
      <c r="H105" s="17">
        <v>1</v>
      </c>
    </row>
    <row r="106" ht="57" customHeight="1" spans="1:8">
      <c r="A106" s="6" t="s">
        <v>327</v>
      </c>
      <c r="B106" s="6" t="s">
        <v>328</v>
      </c>
      <c r="C106" s="6" t="s">
        <v>329</v>
      </c>
      <c r="D106" s="6" t="s">
        <v>164</v>
      </c>
      <c r="E106" s="5" t="s">
        <v>330</v>
      </c>
      <c r="F106" s="5" t="str">
        <f>_xlfn.DISPIMG("ID_5ED5C381475242208E93047EE2BAB046",1)</f>
        <v>=DISPIMG("ID_5ED5C381475242208E93047EE2BAB046",1)</v>
      </c>
      <c r="G106" s="17" t="s">
        <v>44</v>
      </c>
      <c r="H106" s="17">
        <v>2</v>
      </c>
    </row>
    <row r="107" ht="57" customHeight="1" spans="1:8">
      <c r="A107" s="6" t="s">
        <v>331</v>
      </c>
      <c r="B107" s="6" t="s">
        <v>332</v>
      </c>
      <c r="C107" s="6" t="s">
        <v>333</v>
      </c>
      <c r="D107" s="6" t="s">
        <v>12</v>
      </c>
      <c r="E107" s="5" t="s">
        <v>334</v>
      </c>
      <c r="F107" s="5" t="str">
        <f>_xlfn.DISPIMG("ID_94F8AF8042D649CB81F8655749304E64",1)</f>
        <v>=DISPIMG("ID_94F8AF8042D649CB81F8655749304E64",1)</v>
      </c>
      <c r="G107" s="17" t="s">
        <v>44</v>
      </c>
      <c r="H107" s="17">
        <v>2</v>
      </c>
    </row>
    <row r="108" ht="57" customHeight="1" spans="1:8">
      <c r="A108" s="6" t="s">
        <v>335</v>
      </c>
      <c r="B108" s="6" t="s">
        <v>336</v>
      </c>
      <c r="C108" s="6" t="s">
        <v>337</v>
      </c>
      <c r="D108" s="6" t="s">
        <v>338</v>
      </c>
      <c r="E108" s="5" t="s">
        <v>339</v>
      </c>
      <c r="F108" s="5" t="str">
        <f>_xlfn.DISPIMG("ID_7D23160353494CCDB0A5CBDEC1CF1BAF",1)</f>
        <v>=DISPIMG("ID_7D23160353494CCDB0A5CBDEC1CF1BAF",1)</v>
      </c>
      <c r="G108" s="17" t="s">
        <v>44</v>
      </c>
      <c r="H108" s="17">
        <v>2</v>
      </c>
    </row>
    <row r="109" ht="57" customHeight="1" spans="1:8">
      <c r="A109" s="6" t="s">
        <v>340</v>
      </c>
      <c r="B109" s="6" t="s">
        <v>336</v>
      </c>
      <c r="C109" s="6" t="s">
        <v>341</v>
      </c>
      <c r="D109" s="6" t="s">
        <v>338</v>
      </c>
      <c r="E109" s="5" t="s">
        <v>339</v>
      </c>
      <c r="F109" s="5" t="str">
        <f>_xlfn.DISPIMG("ID_EB75D0E34310430D8B167E4A1CA639C5",1)</f>
        <v>=DISPIMG("ID_EB75D0E34310430D8B167E4A1CA639C5",1)</v>
      </c>
      <c r="G109" s="17" t="s">
        <v>44</v>
      </c>
      <c r="H109" s="17">
        <v>1</v>
      </c>
    </row>
    <row r="110" ht="57" customHeight="1" spans="1:8">
      <c r="A110" s="6" t="s">
        <v>342</v>
      </c>
      <c r="B110" s="6" t="s">
        <v>343</v>
      </c>
      <c r="C110" s="6" t="s">
        <v>344</v>
      </c>
      <c r="D110" s="6" t="s">
        <v>345</v>
      </c>
      <c r="E110" s="5" t="s">
        <v>334</v>
      </c>
      <c r="F110" s="5" t="str">
        <f>_xlfn.DISPIMG("ID_C56C7CF9FA3F4B578F623A4D63DA1E75",1)</f>
        <v>=DISPIMG("ID_C56C7CF9FA3F4B578F623A4D63DA1E75",1)</v>
      </c>
      <c r="G110" s="17" t="s">
        <v>44</v>
      </c>
      <c r="H110" s="17">
        <v>2</v>
      </c>
    </row>
    <row r="111" ht="57" customHeight="1" spans="1:8">
      <c r="A111" s="6" t="s">
        <v>346</v>
      </c>
      <c r="B111" s="6" t="s">
        <v>347</v>
      </c>
      <c r="C111" s="6" t="s">
        <v>348</v>
      </c>
      <c r="D111" s="6" t="s">
        <v>345</v>
      </c>
      <c r="E111" s="5" t="s">
        <v>349</v>
      </c>
      <c r="F111" s="5" t="str">
        <f>_xlfn.DISPIMG("ID_E1B7F02A78604C9B9500C7021F659C7D",1)</f>
        <v>=DISPIMG("ID_E1B7F02A78604C9B9500C7021F659C7D",1)</v>
      </c>
      <c r="G111" s="17" t="s">
        <v>44</v>
      </c>
      <c r="H111" s="17">
        <v>1</v>
      </c>
    </row>
    <row r="112" ht="57" customHeight="1" spans="1:8">
      <c r="A112" s="6" t="s">
        <v>350</v>
      </c>
      <c r="B112" s="6" t="s">
        <v>351</v>
      </c>
      <c r="C112" s="6" t="s">
        <v>352</v>
      </c>
      <c r="D112" s="6" t="s">
        <v>353</v>
      </c>
      <c r="E112" s="5" t="s">
        <v>354</v>
      </c>
      <c r="F112" s="5" t="str">
        <f>_xlfn.DISPIMG("ID_B59A56BBC48A4663AF0CBFE56D3C4FC3",1)</f>
        <v>=DISPIMG("ID_B59A56BBC48A4663AF0CBFE56D3C4FC3",1)</v>
      </c>
      <c r="G112" s="17" t="s">
        <v>44</v>
      </c>
      <c r="H112" s="17">
        <v>2</v>
      </c>
    </row>
    <row r="113" ht="57" customHeight="1" spans="1:8">
      <c r="A113" s="6" t="s">
        <v>355</v>
      </c>
      <c r="B113" s="6" t="s">
        <v>319</v>
      </c>
      <c r="C113" s="6" t="s">
        <v>356</v>
      </c>
      <c r="D113" s="6" t="s">
        <v>345</v>
      </c>
      <c r="E113" s="5" t="s">
        <v>357</v>
      </c>
      <c r="F113" s="5" t="str">
        <f>_xlfn.DISPIMG("ID_F4FCAC81F6B54BFAA5FF6F3D589012EC",1)</f>
        <v>=DISPIMG("ID_F4FCAC81F6B54BFAA5FF6F3D589012EC",1)</v>
      </c>
      <c r="G113" s="17" t="s">
        <v>44</v>
      </c>
      <c r="H113" s="17">
        <v>1</v>
      </c>
    </row>
    <row r="114" ht="57" customHeight="1" spans="1:8">
      <c r="A114" s="6" t="s">
        <v>358</v>
      </c>
      <c r="B114" s="6" t="s">
        <v>359</v>
      </c>
      <c r="C114" s="6" t="s">
        <v>360</v>
      </c>
      <c r="D114" s="6" t="s">
        <v>164</v>
      </c>
      <c r="E114" s="5" t="s">
        <v>361</v>
      </c>
      <c r="F114" s="5" t="str">
        <f>_xlfn.DISPIMG("ID_F812EA2B40D2445589E4ABAE6AB431D2",1)</f>
        <v>=DISPIMG("ID_F812EA2B40D2445589E4ABAE6AB431D2",1)</v>
      </c>
      <c r="G114" s="17" t="s">
        <v>44</v>
      </c>
      <c r="H114" s="17">
        <v>2</v>
      </c>
    </row>
    <row r="115" ht="57" customHeight="1" spans="1:8">
      <c r="A115" s="6" t="s">
        <v>362</v>
      </c>
      <c r="B115" s="6" t="s">
        <v>363</v>
      </c>
      <c r="C115" s="6" t="s">
        <v>364</v>
      </c>
      <c r="D115" s="6" t="s">
        <v>12</v>
      </c>
      <c r="E115" s="5" t="s">
        <v>267</v>
      </c>
      <c r="F115" s="5" t="str">
        <f>_xlfn.DISPIMG("ID_C2FE08D9F2E64C5E98401ACEB5FF57A3",1)</f>
        <v>=DISPIMG("ID_C2FE08D9F2E64C5E98401ACEB5FF57A3",1)</v>
      </c>
      <c r="G115" s="17" t="s">
        <v>44</v>
      </c>
      <c r="H115" s="17">
        <v>4</v>
      </c>
    </row>
    <row r="116" ht="57" customHeight="1" spans="1:8">
      <c r="A116" s="6" t="s">
        <v>365</v>
      </c>
      <c r="B116" s="6" t="s">
        <v>366</v>
      </c>
      <c r="C116" s="6" t="s">
        <v>367</v>
      </c>
      <c r="D116" s="6" t="s">
        <v>164</v>
      </c>
      <c r="E116" s="5" t="s">
        <v>368</v>
      </c>
      <c r="F116" s="5" t="str">
        <f>_xlfn.DISPIMG("ID_350D7B9636AC4B50B4EE401652AD8B4D",1)</f>
        <v>=DISPIMG("ID_350D7B9636AC4B50B4EE401652AD8B4D",1)</v>
      </c>
      <c r="G116" s="17" t="s">
        <v>44</v>
      </c>
      <c r="H116" s="17">
        <v>2</v>
      </c>
    </row>
    <row r="117" ht="57" customHeight="1" spans="1:8">
      <c r="A117" s="6" t="s">
        <v>369</v>
      </c>
      <c r="B117" s="6" t="s">
        <v>257</v>
      </c>
      <c r="C117" s="6" t="s">
        <v>370</v>
      </c>
      <c r="D117" s="6" t="s">
        <v>12</v>
      </c>
      <c r="E117" s="5" t="s">
        <v>371</v>
      </c>
      <c r="F117" s="5" t="str">
        <f>_xlfn.DISPIMG("ID_2969C3A3F2784799A84E6CEA35A1BC9F",1)</f>
        <v>=DISPIMG("ID_2969C3A3F2784799A84E6CEA35A1BC9F",1)</v>
      </c>
      <c r="G117" s="17" t="s">
        <v>44</v>
      </c>
      <c r="H117" s="17">
        <v>5</v>
      </c>
    </row>
    <row r="118" ht="57" customHeight="1" spans="1:8">
      <c r="A118" s="6" t="s">
        <v>372</v>
      </c>
      <c r="B118" s="6" t="s">
        <v>373</v>
      </c>
      <c r="C118" s="6" t="s">
        <v>374</v>
      </c>
      <c r="D118" s="6" t="s">
        <v>12</v>
      </c>
      <c r="E118" s="5" t="s">
        <v>375</v>
      </c>
      <c r="F118" s="5" t="str">
        <f>_xlfn.DISPIMG("ID_2340F28883504F8692A955CD31DA774A",1)</f>
        <v>=DISPIMG("ID_2340F28883504F8692A955CD31DA774A",1)</v>
      </c>
      <c r="G118" s="17" t="s">
        <v>44</v>
      </c>
      <c r="H118" s="17">
        <v>5</v>
      </c>
    </row>
    <row r="119" ht="57" customHeight="1" spans="1:8">
      <c r="A119" s="6" t="s">
        <v>376</v>
      </c>
      <c r="B119" s="6" t="s">
        <v>377</v>
      </c>
      <c r="C119" s="6" t="s">
        <v>378</v>
      </c>
      <c r="D119" s="6" t="s">
        <v>12</v>
      </c>
      <c r="E119" s="5" t="s">
        <v>379</v>
      </c>
      <c r="F119" s="5" t="str">
        <f>_xlfn.DISPIMG("ID_D6B98860DCA244518107ED41966838AA",1)</f>
        <v>=DISPIMG("ID_D6B98860DCA244518107ED41966838AA",1)</v>
      </c>
      <c r="G119" s="17" t="s">
        <v>44</v>
      </c>
      <c r="H119" s="17">
        <v>1</v>
      </c>
    </row>
    <row r="120" ht="57" customHeight="1" spans="1:8">
      <c r="A120" s="6" t="s">
        <v>380</v>
      </c>
      <c r="B120" s="6" t="s">
        <v>381</v>
      </c>
      <c r="C120" s="6" t="s">
        <v>382</v>
      </c>
      <c r="D120" s="6" t="s">
        <v>12</v>
      </c>
      <c r="E120" s="5" t="s">
        <v>375</v>
      </c>
      <c r="F120" s="5" t="str">
        <f>_xlfn.DISPIMG("ID_A01E64FACA5C49D1BEB5E6DCF367A5D2",1)</f>
        <v>=DISPIMG("ID_A01E64FACA5C49D1BEB5E6DCF367A5D2",1)</v>
      </c>
      <c r="G120" s="17" t="s">
        <v>44</v>
      </c>
      <c r="H120" s="17">
        <v>4</v>
      </c>
    </row>
    <row r="121" ht="57" customHeight="1" spans="1:8">
      <c r="A121" s="6" t="s">
        <v>383</v>
      </c>
      <c r="B121" s="6" t="s">
        <v>384</v>
      </c>
      <c r="C121" s="6" t="s">
        <v>385</v>
      </c>
      <c r="D121" s="6" t="s">
        <v>386</v>
      </c>
      <c r="E121" s="5" t="s">
        <v>387</v>
      </c>
      <c r="F121" s="5" t="str">
        <f>_xlfn.DISPIMG("ID_CE19CD4174114FE4A0F053E7CE94153E",1)</f>
        <v>=DISPIMG("ID_CE19CD4174114FE4A0F053E7CE94153E",1)</v>
      </c>
      <c r="G121" s="17" t="s">
        <v>44</v>
      </c>
      <c r="H121" s="17">
        <v>2</v>
      </c>
    </row>
    <row r="122" ht="57" customHeight="1" spans="1:8">
      <c r="A122" s="6" t="s">
        <v>388</v>
      </c>
      <c r="B122" s="6" t="s">
        <v>389</v>
      </c>
      <c r="C122" s="6" t="s">
        <v>390</v>
      </c>
      <c r="D122" s="6" t="s">
        <v>391</v>
      </c>
      <c r="E122" s="5" t="s">
        <v>392</v>
      </c>
      <c r="F122" s="5" t="str">
        <f>_xlfn.DISPIMG("ID_64E066AFA5BB41C4A32E116E1588EBC7",1)</f>
        <v>=DISPIMG("ID_64E066AFA5BB41C4A32E116E1588EBC7",1)</v>
      </c>
      <c r="G122" s="17" t="s">
        <v>44</v>
      </c>
      <c r="H122" s="17">
        <v>1</v>
      </c>
    </row>
    <row r="123" ht="57" customHeight="1" spans="1:8">
      <c r="A123" s="6" t="s">
        <v>393</v>
      </c>
      <c r="B123" s="6" t="s">
        <v>394</v>
      </c>
      <c r="C123" s="6" t="s">
        <v>395</v>
      </c>
      <c r="D123" s="6" t="s">
        <v>12</v>
      </c>
      <c r="E123" s="5" t="s">
        <v>396</v>
      </c>
      <c r="F123" s="5" t="str">
        <f>_xlfn.DISPIMG("ID_C1397BA6D26E4E69B5A527B35F4848ED",1)</f>
        <v>=DISPIMG("ID_C1397BA6D26E4E69B5A527B35F4848ED",1)</v>
      </c>
      <c r="G123" s="17" t="s">
        <v>44</v>
      </c>
      <c r="H123" s="17">
        <v>2</v>
      </c>
    </row>
    <row r="124" ht="57" customHeight="1" spans="1:8">
      <c r="A124" s="6" t="s">
        <v>397</v>
      </c>
      <c r="B124" s="6" t="s">
        <v>394</v>
      </c>
      <c r="C124" s="6" t="s">
        <v>398</v>
      </c>
      <c r="D124" s="6" t="s">
        <v>12</v>
      </c>
      <c r="E124" s="5" t="s">
        <v>399</v>
      </c>
      <c r="F124" s="5" t="str">
        <f>_xlfn.DISPIMG("ID_1D9A975EEBEA421CB3A7C469E6AE7B53",1)</f>
        <v>=DISPIMG("ID_1D9A975EEBEA421CB3A7C469E6AE7B53",1)</v>
      </c>
      <c r="G124" s="17" t="s">
        <v>44</v>
      </c>
      <c r="H124" s="17">
        <v>3</v>
      </c>
    </row>
    <row r="125" ht="57" customHeight="1" spans="1:8">
      <c r="A125" s="6" t="s">
        <v>400</v>
      </c>
      <c r="B125" s="6" t="s">
        <v>401</v>
      </c>
      <c r="C125" s="6" t="s">
        <v>402</v>
      </c>
      <c r="D125" s="6" t="s">
        <v>403</v>
      </c>
      <c r="E125" s="5" t="s">
        <v>404</v>
      </c>
      <c r="F125" s="5" t="str">
        <f>_xlfn.DISPIMG("ID_74E951BA143049389CEF722301FEB577",1)</f>
        <v>=DISPIMG("ID_74E951BA143049389CEF722301FEB577",1)</v>
      </c>
      <c r="G125" s="17" t="s">
        <v>14</v>
      </c>
      <c r="H125" s="17">
        <v>3</v>
      </c>
    </row>
    <row r="126" s="1" customFormat="1" ht="57" customHeight="1" spans="1:8">
      <c r="A126" s="6" t="s">
        <v>405</v>
      </c>
      <c r="B126" s="6" t="s">
        <v>401</v>
      </c>
      <c r="C126" s="6" t="s">
        <v>406</v>
      </c>
      <c r="D126" s="6" t="s">
        <v>386</v>
      </c>
      <c r="E126" s="6" t="s">
        <v>407</v>
      </c>
      <c r="F126" s="6" t="str">
        <f>_xlfn.DISPIMG("ID_4D3879C50FC7439C90BBF6C11105C05C",1)</f>
        <v>=DISPIMG("ID_4D3879C50FC7439C90BBF6C11105C05C",1)</v>
      </c>
      <c r="G126" s="17" t="s">
        <v>408</v>
      </c>
      <c r="H126" s="17">
        <v>3</v>
      </c>
    </row>
    <row r="127" ht="57" customHeight="1" spans="1:8">
      <c r="A127" s="20" t="s">
        <v>409</v>
      </c>
      <c r="B127" s="6" t="s">
        <v>410</v>
      </c>
      <c r="C127" s="6" t="s">
        <v>411</v>
      </c>
      <c r="D127" s="6" t="s">
        <v>12</v>
      </c>
      <c r="E127" s="6" t="s">
        <v>412</v>
      </c>
      <c r="F127" s="6" t="str">
        <f>_xlfn.DISPIMG("ID_9B63ACD28DCA42CDB1FA830806CECACA",1)</f>
        <v>=DISPIMG("ID_9B63ACD28DCA42CDB1FA830806CECACA",1)</v>
      </c>
      <c r="G127" s="6" t="s">
        <v>413</v>
      </c>
      <c r="H127" s="17">
        <v>2</v>
      </c>
    </row>
    <row r="128" ht="57" customHeight="1" spans="1:8">
      <c r="A128" s="20" t="s">
        <v>414</v>
      </c>
      <c r="B128" s="6" t="s">
        <v>410</v>
      </c>
      <c r="C128" s="6" t="s">
        <v>415</v>
      </c>
      <c r="D128" s="6" t="s">
        <v>12</v>
      </c>
      <c r="E128" s="6" t="s">
        <v>416</v>
      </c>
      <c r="F128" s="6" t="str">
        <f>_xlfn.DISPIMG("ID_02C8672C79F14EC6B111690ECE460221",1)</f>
        <v>=DISPIMG("ID_02C8672C79F14EC6B111690ECE460221",1)</v>
      </c>
      <c r="G128" s="6" t="s">
        <v>413</v>
      </c>
      <c r="H128" s="17">
        <v>4</v>
      </c>
    </row>
    <row r="129" ht="57" customHeight="1" spans="1:8">
      <c r="A129" s="20" t="s">
        <v>417</v>
      </c>
      <c r="B129" s="6" t="s">
        <v>410</v>
      </c>
      <c r="C129" s="6" t="s">
        <v>418</v>
      </c>
      <c r="D129" s="6" t="s">
        <v>419</v>
      </c>
      <c r="E129" s="6" t="s">
        <v>420</v>
      </c>
      <c r="F129" s="6" t="str">
        <f>_xlfn.DISPIMG("ID_F47305B86B44474B88CB50C55F33FE6C",1)</f>
        <v>=DISPIMG("ID_F47305B86B44474B88CB50C55F33FE6C",1)</v>
      </c>
      <c r="G129" s="6" t="s">
        <v>413</v>
      </c>
      <c r="H129" s="17">
        <v>2</v>
      </c>
    </row>
    <row r="130" ht="57" customHeight="1" spans="1:8">
      <c r="A130" s="20" t="s">
        <v>421</v>
      </c>
      <c r="B130" s="6" t="s">
        <v>19</v>
      </c>
      <c r="C130" s="6" t="s">
        <v>422</v>
      </c>
      <c r="D130" s="6" t="s">
        <v>423</v>
      </c>
      <c r="E130" s="6" t="s">
        <v>424</v>
      </c>
      <c r="F130" s="6" t="str">
        <f>_xlfn.DISPIMG("ID_6CD7A6388DFF4303AE2EE3C2D7371D92",1)</f>
        <v>=DISPIMG("ID_6CD7A6388DFF4303AE2EE3C2D7371D92",1)</v>
      </c>
      <c r="G130" s="6" t="s">
        <v>44</v>
      </c>
      <c r="H130" s="17">
        <v>5</v>
      </c>
    </row>
    <row r="131" ht="57" customHeight="1" spans="1:8">
      <c r="A131" s="20" t="s">
        <v>425</v>
      </c>
      <c r="B131" s="6" t="s">
        <v>19</v>
      </c>
      <c r="C131" s="6" t="s">
        <v>426</v>
      </c>
      <c r="D131" s="6" t="s">
        <v>423</v>
      </c>
      <c r="E131" s="6" t="s">
        <v>427</v>
      </c>
      <c r="F131" s="6" t="str">
        <f>_xlfn.DISPIMG("ID_96D06495F2014AE0870D57F57B270F63",1)</f>
        <v>=DISPIMG("ID_96D06495F2014AE0870D57F57B270F63",1)</v>
      </c>
      <c r="G131" s="6" t="s">
        <v>44</v>
      </c>
      <c r="H131" s="17">
        <v>5</v>
      </c>
    </row>
    <row r="132" ht="57" customHeight="1" spans="1:8">
      <c r="A132" s="20" t="s">
        <v>428</v>
      </c>
      <c r="B132" s="6" t="s">
        <v>429</v>
      </c>
      <c r="C132" s="6" t="s">
        <v>430</v>
      </c>
      <c r="D132" s="6" t="s">
        <v>423</v>
      </c>
      <c r="E132" s="6" t="s">
        <v>431</v>
      </c>
      <c r="F132" s="6" t="str">
        <f>_xlfn.DISPIMG("ID_F1B08C6D1C214D6FA098C7467EDBBD17",1)</f>
        <v>=DISPIMG("ID_F1B08C6D1C214D6FA098C7467EDBBD17",1)</v>
      </c>
      <c r="G132" s="6" t="s">
        <v>44</v>
      </c>
      <c r="H132" s="17">
        <v>5</v>
      </c>
    </row>
    <row r="133" ht="57" customHeight="1" spans="1:8">
      <c r="A133" s="20" t="s">
        <v>432</v>
      </c>
      <c r="B133" s="6" t="s">
        <v>410</v>
      </c>
      <c r="C133" s="6" t="s">
        <v>433</v>
      </c>
      <c r="D133" s="6" t="s">
        <v>12</v>
      </c>
      <c r="E133" s="6" t="s">
        <v>434</v>
      </c>
      <c r="F133" s="6" t="str">
        <f>_xlfn.DISPIMG("ID_2A73FB0BFB684B51B9AE4F6C72DA3597",1)</f>
        <v>=DISPIMG("ID_2A73FB0BFB684B51B9AE4F6C72DA3597",1)</v>
      </c>
      <c r="G133" s="6" t="s">
        <v>413</v>
      </c>
      <c r="H133" s="17">
        <v>4</v>
      </c>
    </row>
    <row r="134" ht="57" customHeight="1" spans="1:8">
      <c r="A134" s="20" t="s">
        <v>435</v>
      </c>
      <c r="B134" s="6" t="s">
        <v>410</v>
      </c>
      <c r="C134" s="6" t="s">
        <v>436</v>
      </c>
      <c r="D134" s="6" t="s">
        <v>12</v>
      </c>
      <c r="E134" s="6" t="s">
        <v>437</v>
      </c>
      <c r="F134" s="6" t="str">
        <f>_xlfn.DISPIMG("ID_9FD4222E4C4645BD8EF67E0233AC2DD4",1)</f>
        <v>=DISPIMG("ID_9FD4222E4C4645BD8EF67E0233AC2DD4",1)</v>
      </c>
      <c r="G134" s="6" t="s">
        <v>413</v>
      </c>
      <c r="H134" s="17">
        <v>2</v>
      </c>
    </row>
    <row r="135" ht="57" customHeight="1" spans="1:8">
      <c r="A135" s="20" t="s">
        <v>438</v>
      </c>
      <c r="B135" s="6" t="s">
        <v>439</v>
      </c>
      <c r="C135" s="6" t="s">
        <v>440</v>
      </c>
      <c r="D135" s="6" t="s">
        <v>12</v>
      </c>
      <c r="E135" s="6" t="s">
        <v>441</v>
      </c>
      <c r="F135" s="6" t="str">
        <f t="shared" ref="F135:F138" si="3">_xlfn.DISPIMG("ID_E4FE348A4C2244638BF107A8796BAF68",1)</f>
        <v>=DISPIMG("ID_E4FE348A4C2244638BF107A8796BAF68",1)</v>
      </c>
      <c r="G135" s="6" t="s">
        <v>442</v>
      </c>
      <c r="H135" s="17">
        <v>3</v>
      </c>
    </row>
    <row r="136" ht="57" customHeight="1" spans="1:8">
      <c r="A136" s="20" t="s">
        <v>443</v>
      </c>
      <c r="B136" s="6" t="s">
        <v>439</v>
      </c>
      <c r="C136" s="6" t="s">
        <v>440</v>
      </c>
      <c r="D136" s="6" t="s">
        <v>12</v>
      </c>
      <c r="E136" s="6" t="s">
        <v>441</v>
      </c>
      <c r="F136" s="6" t="str">
        <f t="shared" si="3"/>
        <v>=DISPIMG("ID_E4FE348A4C2244638BF107A8796BAF68",1)</v>
      </c>
      <c r="G136" s="6" t="s">
        <v>442</v>
      </c>
      <c r="H136" s="17">
        <v>5</v>
      </c>
    </row>
    <row r="137" ht="57" customHeight="1" spans="1:8">
      <c r="A137" s="20" t="s">
        <v>444</v>
      </c>
      <c r="B137" s="6" t="s">
        <v>439</v>
      </c>
      <c r="C137" s="6" t="s">
        <v>440</v>
      </c>
      <c r="D137" s="6" t="s">
        <v>12</v>
      </c>
      <c r="E137" s="6" t="s">
        <v>441</v>
      </c>
      <c r="F137" s="6" t="str">
        <f t="shared" si="3"/>
        <v>=DISPIMG("ID_E4FE348A4C2244638BF107A8796BAF68",1)</v>
      </c>
      <c r="G137" s="6" t="s">
        <v>442</v>
      </c>
      <c r="H137" s="17">
        <v>5</v>
      </c>
    </row>
    <row r="138" ht="57" customHeight="1" spans="1:8">
      <c r="A138" s="20" t="s">
        <v>445</v>
      </c>
      <c r="B138" s="6" t="s">
        <v>439</v>
      </c>
      <c r="C138" s="6" t="s">
        <v>440</v>
      </c>
      <c r="D138" s="6" t="s">
        <v>12</v>
      </c>
      <c r="E138" s="6" t="s">
        <v>441</v>
      </c>
      <c r="F138" s="6" t="str">
        <f t="shared" si="3"/>
        <v>=DISPIMG("ID_E4FE348A4C2244638BF107A8796BAF68",1)</v>
      </c>
      <c r="G138" s="6" t="s">
        <v>442</v>
      </c>
      <c r="H138" s="17">
        <v>5</v>
      </c>
    </row>
    <row r="139" ht="57" customHeight="1" spans="1:8">
      <c r="A139" s="20" t="s">
        <v>446</v>
      </c>
      <c r="B139" s="6" t="s">
        <v>439</v>
      </c>
      <c r="C139" s="6" t="s">
        <v>447</v>
      </c>
      <c r="D139" s="6" t="s">
        <v>12</v>
      </c>
      <c r="E139" s="6" t="s">
        <v>448</v>
      </c>
      <c r="F139" s="6" t="str">
        <f>_xlfn.DISPIMG("ID_768CC9A2B1DA4938854D5227C9C3C878",1)</f>
        <v>=DISPIMG("ID_768CC9A2B1DA4938854D5227C9C3C878",1)</v>
      </c>
      <c r="G139" s="6" t="s">
        <v>442</v>
      </c>
      <c r="H139" s="17">
        <v>1</v>
      </c>
    </row>
    <row r="140" ht="57" customHeight="1" spans="1:8">
      <c r="A140" s="20" t="s">
        <v>449</v>
      </c>
      <c r="B140" s="6" t="s">
        <v>439</v>
      </c>
      <c r="C140" s="6" t="s">
        <v>450</v>
      </c>
      <c r="D140" s="6" t="s">
        <v>12</v>
      </c>
      <c r="E140" s="6" t="s">
        <v>451</v>
      </c>
      <c r="F140" s="6" t="str">
        <f>_xlfn.DISPIMG("ID_36B59392AECA41B7A05A8DCA80A48043",1)</f>
        <v>=DISPIMG("ID_36B59392AECA41B7A05A8DCA80A48043",1)</v>
      </c>
      <c r="G140" s="6" t="s">
        <v>442</v>
      </c>
      <c r="H140" s="17">
        <v>1</v>
      </c>
    </row>
    <row r="141" ht="57" customHeight="1" spans="1:8">
      <c r="A141" s="20" t="s">
        <v>452</v>
      </c>
      <c r="B141" s="6" t="s">
        <v>453</v>
      </c>
      <c r="C141" s="6" t="s">
        <v>454</v>
      </c>
      <c r="D141" s="6" t="s">
        <v>12</v>
      </c>
      <c r="E141" s="6" t="s">
        <v>455</v>
      </c>
      <c r="F141" s="6" t="str">
        <f>_xlfn.DISPIMG("ID_8A2E4CEA5FEF427D9E7526EDAF0F196B",1)</f>
        <v>=DISPIMG("ID_8A2E4CEA5FEF427D9E7526EDAF0F196B",1)</v>
      </c>
      <c r="G141" s="6" t="s">
        <v>456</v>
      </c>
      <c r="H141" s="17">
        <v>294</v>
      </c>
    </row>
    <row r="142" ht="57" customHeight="1" spans="1:8">
      <c r="A142" s="20" t="s">
        <v>457</v>
      </c>
      <c r="B142" s="6" t="s">
        <v>439</v>
      </c>
      <c r="C142" s="6" t="s">
        <v>458</v>
      </c>
      <c r="D142" s="6" t="s">
        <v>12</v>
      </c>
      <c r="E142" s="6" t="s">
        <v>459</v>
      </c>
      <c r="F142" s="6" t="str">
        <f>_xlfn.DISPIMG("ID_05754326E8E64999BAE02EE268BA8721",1)</f>
        <v>=DISPIMG("ID_05754326E8E64999BAE02EE268BA8721",1)</v>
      </c>
      <c r="G142" s="6" t="s">
        <v>460</v>
      </c>
      <c r="H142" s="6">
        <v>6</v>
      </c>
    </row>
    <row r="143" ht="57" customHeight="1" spans="1:8">
      <c r="A143" s="20" t="s">
        <v>461</v>
      </c>
      <c r="B143" s="6" t="s">
        <v>439</v>
      </c>
      <c r="C143" s="6" t="s">
        <v>462</v>
      </c>
      <c r="D143" s="6" t="s">
        <v>12</v>
      </c>
      <c r="E143" s="6" t="s">
        <v>463</v>
      </c>
      <c r="F143" s="6" t="str">
        <f>_xlfn.DISPIMG("ID_D96609CF886C455F9470C91A1D6F8049",1)</f>
        <v>=DISPIMG("ID_D96609CF886C455F9470C91A1D6F8049",1)</v>
      </c>
      <c r="G143" s="6" t="s">
        <v>408</v>
      </c>
      <c r="H143" s="6">
        <v>2</v>
      </c>
    </row>
    <row r="144" ht="57" customHeight="1" spans="1:8">
      <c r="A144" s="20" t="s">
        <v>464</v>
      </c>
      <c r="B144" s="6" t="s">
        <v>439</v>
      </c>
      <c r="C144" s="6" t="s">
        <v>465</v>
      </c>
      <c r="D144" s="6" t="s">
        <v>12</v>
      </c>
      <c r="E144" s="6" t="s">
        <v>466</v>
      </c>
      <c r="F144" s="6" t="str">
        <f>_xlfn.DISPIMG("ID_57C9CD7B53B84E55B532F438907B040B",1)</f>
        <v>=DISPIMG("ID_57C9CD7B53B84E55B532F438907B040B",1)</v>
      </c>
      <c r="G144" s="6" t="s">
        <v>14</v>
      </c>
      <c r="H144" s="6">
        <v>5</v>
      </c>
    </row>
    <row r="145" ht="57" customHeight="1" spans="1:8">
      <c r="A145" s="20" t="s">
        <v>467</v>
      </c>
      <c r="B145" s="6" t="s">
        <v>439</v>
      </c>
      <c r="C145" s="6" t="s">
        <v>468</v>
      </c>
      <c r="D145" s="6" t="s">
        <v>12</v>
      </c>
      <c r="E145" s="6" t="s">
        <v>469</v>
      </c>
      <c r="F145" s="6" t="str">
        <f>_xlfn.DISPIMG("ID_8235BDA9FAD54CEA9AE17ED82FDAAAA5",1)</f>
        <v>=DISPIMG("ID_8235BDA9FAD54CEA9AE17ED82FDAAAA5",1)</v>
      </c>
      <c r="G145" s="6" t="s">
        <v>14</v>
      </c>
      <c r="H145" s="6">
        <v>10</v>
      </c>
    </row>
    <row r="146" ht="57" customHeight="1" spans="1:8">
      <c r="A146" s="20" t="s">
        <v>470</v>
      </c>
      <c r="B146" s="6" t="s">
        <v>439</v>
      </c>
      <c r="C146" s="6" t="s">
        <v>471</v>
      </c>
      <c r="D146" s="6" t="s">
        <v>12</v>
      </c>
      <c r="E146" s="6" t="s">
        <v>472</v>
      </c>
      <c r="F146" s="6" t="str">
        <f>_xlfn.DISPIMG("ID_E729EABC4AC7482CA107403AC7B7D7C2",1)</f>
        <v>=DISPIMG("ID_E729EABC4AC7482CA107403AC7B7D7C2",1)</v>
      </c>
      <c r="G146" s="6" t="s">
        <v>14</v>
      </c>
      <c r="H146" s="6">
        <v>20</v>
      </c>
    </row>
    <row r="147" ht="57" customHeight="1" spans="1:8">
      <c r="A147" s="20" t="s">
        <v>473</v>
      </c>
      <c r="B147" s="6" t="s">
        <v>439</v>
      </c>
      <c r="C147" s="6" t="s">
        <v>474</v>
      </c>
      <c r="D147" s="6" t="s">
        <v>12</v>
      </c>
      <c r="E147" s="6" t="s">
        <v>475</v>
      </c>
      <c r="F147" s="6" t="str">
        <f>_xlfn.DISPIMG("ID_5A60B821D70A48E0A042B2534A63CAE9",1)</f>
        <v>=DISPIMG("ID_5A60B821D70A48E0A042B2534A63CAE9",1)</v>
      </c>
      <c r="G147" s="6" t="s">
        <v>408</v>
      </c>
      <c r="H147" s="6">
        <v>1</v>
      </c>
    </row>
    <row r="148" ht="57" customHeight="1" spans="1:8">
      <c r="A148" s="20" t="s">
        <v>476</v>
      </c>
      <c r="B148" s="6" t="s">
        <v>439</v>
      </c>
      <c r="C148" s="6" t="s">
        <v>477</v>
      </c>
      <c r="D148" s="6" t="s">
        <v>12</v>
      </c>
      <c r="E148" s="6" t="s">
        <v>478</v>
      </c>
      <c r="F148" s="6" t="str">
        <f>_xlfn.DISPIMG("ID_B12933384FE748FD9B0A7931851559E7",1)</f>
        <v>=DISPIMG("ID_B12933384FE748FD9B0A7931851559E7",1)</v>
      </c>
      <c r="G148" s="6" t="s">
        <v>44</v>
      </c>
      <c r="H148" s="6">
        <v>1</v>
      </c>
    </row>
    <row r="149" ht="57" customHeight="1" spans="1:8">
      <c r="A149" s="20" t="s">
        <v>479</v>
      </c>
      <c r="B149" s="6" t="s">
        <v>439</v>
      </c>
      <c r="C149" s="6" t="s">
        <v>480</v>
      </c>
      <c r="D149" s="6" t="s">
        <v>481</v>
      </c>
      <c r="E149" s="6" t="s">
        <v>482</v>
      </c>
      <c r="F149" s="6" t="str">
        <f>_xlfn.DISPIMG("ID_2829EA5B09A64608AB56086DE01C2A1E",1)</f>
        <v>=DISPIMG("ID_2829EA5B09A64608AB56086DE01C2A1E",1)</v>
      </c>
      <c r="G149" s="6" t="s">
        <v>44</v>
      </c>
      <c r="H149" s="6">
        <v>2</v>
      </c>
    </row>
    <row r="150" ht="57" customHeight="1" spans="1:8">
      <c r="A150" s="20" t="s">
        <v>483</v>
      </c>
      <c r="B150" s="6" t="s">
        <v>484</v>
      </c>
      <c r="C150" s="6" t="s">
        <v>485</v>
      </c>
      <c r="D150" s="6" t="s">
        <v>486</v>
      </c>
      <c r="E150" s="6" t="s">
        <v>487</v>
      </c>
      <c r="F150" s="6" t="str">
        <f>_xlfn.DISPIMG("ID_E48FB73A7DA64BB18745DE16DD68D5E9",1)</f>
        <v>=DISPIMG("ID_E48FB73A7DA64BB18745DE16DD68D5E9",1)</v>
      </c>
      <c r="G150" s="6" t="s">
        <v>14</v>
      </c>
      <c r="H150" s="6">
        <v>1</v>
      </c>
    </row>
    <row r="151" ht="57" customHeight="1" spans="1:8">
      <c r="A151" s="20" t="s">
        <v>488</v>
      </c>
      <c r="B151" s="6" t="s">
        <v>489</v>
      </c>
      <c r="C151" s="6" t="s">
        <v>490</v>
      </c>
      <c r="D151" s="6" t="s">
        <v>491</v>
      </c>
      <c r="E151" s="6" t="s">
        <v>492</v>
      </c>
      <c r="F151" s="6" t="str">
        <f>_xlfn.DISPIMG("ID_B354F748A17D4C47BE791F228D8AD583",1)</f>
        <v>=DISPIMG("ID_B354F748A17D4C47BE791F228D8AD583",1)</v>
      </c>
      <c r="G151" s="6" t="s">
        <v>408</v>
      </c>
      <c r="H151" s="6">
        <v>3</v>
      </c>
    </row>
    <row r="152" ht="57" customHeight="1" spans="1:8">
      <c r="A152" s="21" t="s">
        <v>493</v>
      </c>
      <c r="B152" s="6" t="s">
        <v>351</v>
      </c>
      <c r="C152" s="6" t="s">
        <v>494</v>
      </c>
      <c r="D152" s="6" t="s">
        <v>12</v>
      </c>
      <c r="E152" s="6" t="s">
        <v>494</v>
      </c>
      <c r="F152" s="6" t="str">
        <f>_xlfn.DISPIMG("ID_83907B8A53EF4DCD97FAC44A6FD0DC27",1)</f>
        <v>=DISPIMG("ID_83907B8A53EF4DCD97FAC44A6FD0DC27",1)</v>
      </c>
      <c r="G152" s="6" t="s">
        <v>14</v>
      </c>
      <c r="H152" s="6">
        <v>15</v>
      </c>
    </row>
    <row r="153" ht="57" customHeight="1" spans="1:8">
      <c r="A153" s="22"/>
      <c r="B153" s="6" t="s">
        <v>495</v>
      </c>
      <c r="C153" s="6" t="s">
        <v>496</v>
      </c>
      <c r="D153" s="6" t="s">
        <v>12</v>
      </c>
      <c r="E153" s="6" t="s">
        <v>496</v>
      </c>
      <c r="F153" s="6" t="str">
        <f>_xlfn.DISPIMG("ID_838AEB0DF30A4E9BBDDA1424C870D53D",1)</f>
        <v>=DISPIMG("ID_838AEB0DF30A4E9BBDDA1424C870D53D",1)</v>
      </c>
      <c r="G153" s="6" t="s">
        <v>14</v>
      </c>
      <c r="H153" s="6">
        <v>15</v>
      </c>
    </row>
    <row r="154" ht="57" customHeight="1" spans="1:8">
      <c r="A154" s="22"/>
      <c r="B154" s="6" t="s">
        <v>497</v>
      </c>
      <c r="C154" s="6" t="s">
        <v>498</v>
      </c>
      <c r="D154" s="6" t="s">
        <v>12</v>
      </c>
      <c r="E154" s="6" t="s">
        <v>498</v>
      </c>
      <c r="F154" s="6" t="str">
        <f>_xlfn.DISPIMG("ID_C795858507494C2AB594EA8E0CF3967A",1)</f>
        <v>=DISPIMG("ID_C795858507494C2AB594EA8E0CF3967A",1)</v>
      </c>
      <c r="G154" s="6" t="s">
        <v>14</v>
      </c>
      <c r="H154" s="6">
        <v>10</v>
      </c>
    </row>
    <row r="155" ht="57" customHeight="1" spans="1:8">
      <c r="A155" s="23"/>
      <c r="B155" s="6" t="s">
        <v>499</v>
      </c>
      <c r="C155" s="6" t="s">
        <v>500</v>
      </c>
      <c r="D155" s="6" t="s">
        <v>12</v>
      </c>
      <c r="E155" s="6" t="s">
        <v>500</v>
      </c>
      <c r="F155" s="6" t="str">
        <f>_xlfn.DISPIMG("ID_60AF4A9729CD4E338825DE37EA5F34A1",1)</f>
        <v>=DISPIMG("ID_60AF4A9729CD4E338825DE37EA5F34A1",1)</v>
      </c>
      <c r="G155" s="6" t="s">
        <v>14</v>
      </c>
      <c r="H155" s="6">
        <v>10</v>
      </c>
    </row>
    <row r="156" ht="57" customHeight="1" spans="1:8">
      <c r="A156" s="20" t="s">
        <v>501</v>
      </c>
      <c r="B156" s="6" t="s">
        <v>351</v>
      </c>
      <c r="C156" s="6" t="s">
        <v>502</v>
      </c>
      <c r="D156" s="6" t="s">
        <v>503</v>
      </c>
      <c r="E156" s="6" t="s">
        <v>504</v>
      </c>
      <c r="F156" s="6" t="str">
        <f>_xlfn.DISPIMG("ID_565AC72F961047CD89681A6C1E78CEAA",1)</f>
        <v>=DISPIMG("ID_565AC72F961047CD89681A6C1E78CEAA",1)</v>
      </c>
      <c r="G156" s="6" t="s">
        <v>14</v>
      </c>
      <c r="H156" s="6">
        <v>60</v>
      </c>
    </row>
    <row r="157" ht="57" customHeight="1" spans="1:8">
      <c r="A157" s="20" t="s">
        <v>505</v>
      </c>
      <c r="B157" s="6" t="s">
        <v>351</v>
      </c>
      <c r="C157" s="6" t="s">
        <v>506</v>
      </c>
      <c r="D157" s="6" t="s">
        <v>507</v>
      </c>
      <c r="E157" s="6" t="s">
        <v>506</v>
      </c>
      <c r="F157" s="6" t="str">
        <f>_xlfn.DISPIMG("ID_2A330D66DF784A4FBFC1B92063F1F09C",1)</f>
        <v>=DISPIMG("ID_2A330D66DF784A4FBFC1B92063F1F09C",1)</v>
      </c>
      <c r="G157" s="6" t="s">
        <v>14</v>
      </c>
      <c r="H157" s="6">
        <v>40</v>
      </c>
    </row>
    <row r="158" ht="57" customHeight="1" spans="1:8">
      <c r="A158" s="20" t="s">
        <v>508</v>
      </c>
      <c r="B158" s="6" t="s">
        <v>509</v>
      </c>
      <c r="C158" s="6" t="s">
        <v>510</v>
      </c>
      <c r="D158" s="6" t="s">
        <v>491</v>
      </c>
      <c r="E158" s="6" t="s">
        <v>510</v>
      </c>
      <c r="F158" s="6" t="str">
        <f>_xlfn.DISPIMG("ID_1369981435674F24B2DC18FEA6C6268F",1)</f>
        <v>=DISPIMG("ID_1369981435674F24B2DC18FEA6C6268F",1)</v>
      </c>
      <c r="G158" s="6" t="s">
        <v>14</v>
      </c>
      <c r="H158" s="6">
        <v>50</v>
      </c>
    </row>
    <row r="159" ht="57" customHeight="1" spans="1:8">
      <c r="A159" s="20" t="s">
        <v>511</v>
      </c>
      <c r="B159" s="6" t="s">
        <v>512</v>
      </c>
      <c r="C159" s="6" t="s">
        <v>513</v>
      </c>
      <c r="D159" s="6" t="s">
        <v>507</v>
      </c>
      <c r="E159" s="6" t="s">
        <v>513</v>
      </c>
      <c r="F159" s="6" t="str">
        <f>_xlfn.DISPIMG("ID_11DEC0FA922D4FC5A752577B8873B921",1)</f>
        <v>=DISPIMG("ID_11DEC0FA922D4FC5A752577B8873B921",1)</v>
      </c>
      <c r="G159" s="6" t="s">
        <v>14</v>
      </c>
      <c r="H159" s="6">
        <v>50</v>
      </c>
    </row>
    <row r="160" ht="57" customHeight="1" spans="1:8">
      <c r="A160" s="20" t="s">
        <v>514</v>
      </c>
      <c r="B160" s="6" t="s">
        <v>515</v>
      </c>
      <c r="C160" s="6" t="s">
        <v>516</v>
      </c>
      <c r="D160" s="6" t="s">
        <v>517</v>
      </c>
      <c r="E160" s="6" t="s">
        <v>518</v>
      </c>
      <c r="F160" s="6" t="str">
        <f>_xlfn.DISPIMG("ID_ADAC163BAC8846F9B2A09BA2C3DC7EC4",1)</f>
        <v>=DISPIMG("ID_ADAC163BAC8846F9B2A09BA2C3DC7EC4",1)</v>
      </c>
      <c r="G160" s="6" t="s">
        <v>14</v>
      </c>
      <c r="H160" s="6">
        <v>50</v>
      </c>
    </row>
    <row r="161" ht="57" customHeight="1" spans="1:8">
      <c r="A161" s="20" t="s">
        <v>519</v>
      </c>
      <c r="B161" s="6" t="s">
        <v>520</v>
      </c>
      <c r="C161" s="6" t="s">
        <v>521</v>
      </c>
      <c r="D161" s="6" t="s">
        <v>517</v>
      </c>
      <c r="E161" s="6" t="s">
        <v>522</v>
      </c>
      <c r="F161" s="6" t="str">
        <f>_xlfn.DISPIMG("ID_D1B32187936E41A1A96BB82D436ACEF6",1)</f>
        <v>=DISPIMG("ID_D1B32187936E41A1A96BB82D436ACEF6",1)</v>
      </c>
      <c r="G161" s="6" t="s">
        <v>14</v>
      </c>
      <c r="H161" s="6">
        <v>50</v>
      </c>
    </row>
    <row r="162" ht="57" customHeight="1" spans="1:8">
      <c r="A162" s="20" t="s">
        <v>523</v>
      </c>
      <c r="B162" s="6" t="s">
        <v>524</v>
      </c>
      <c r="C162" s="6" t="s">
        <v>525</v>
      </c>
      <c r="D162" s="6" t="s">
        <v>137</v>
      </c>
      <c r="E162" s="6" t="s">
        <v>526</v>
      </c>
      <c r="F162" s="6" t="str">
        <f>_xlfn.DISPIMG("ID_4352F2106B2D4CA791FBA796D5CBEE78",1)</f>
        <v>=DISPIMG("ID_4352F2106B2D4CA791FBA796D5CBEE78",1)</v>
      </c>
      <c r="G162" s="6" t="s">
        <v>14</v>
      </c>
      <c r="H162" s="6">
        <v>100</v>
      </c>
    </row>
    <row r="163" ht="57" customHeight="1" spans="1:8">
      <c r="A163" s="20" t="s">
        <v>527</v>
      </c>
      <c r="B163" s="6" t="s">
        <v>528</v>
      </c>
      <c r="C163" s="6" t="s">
        <v>529</v>
      </c>
      <c r="D163" s="6" t="s">
        <v>530</v>
      </c>
      <c r="E163" s="6" t="s">
        <v>531</v>
      </c>
      <c r="F163" s="6" t="str">
        <f>_xlfn.DISPIMG("ID_DD247BD353D044158A325845D81A65A4",1)</f>
        <v>=DISPIMG("ID_DD247BD353D044158A325845D81A65A4",1)</v>
      </c>
      <c r="G163" s="6" t="s">
        <v>14</v>
      </c>
      <c r="H163" s="6">
        <v>60</v>
      </c>
    </row>
    <row r="164" ht="57" customHeight="1" spans="1:8">
      <c r="A164" s="20" t="s">
        <v>532</v>
      </c>
      <c r="B164" s="6" t="s">
        <v>19</v>
      </c>
      <c r="C164" s="6" t="s">
        <v>533</v>
      </c>
      <c r="D164" s="6" t="s">
        <v>534</v>
      </c>
      <c r="E164" s="6" t="s">
        <v>535</v>
      </c>
      <c r="F164" s="6" t="str">
        <f>_xlfn.DISPIMG("ID_210062D70F464C8097180668D85405BA",1)</f>
        <v>=DISPIMG("ID_210062D70F464C8097180668D85405BA",1)</v>
      </c>
      <c r="G164" s="6" t="s">
        <v>44</v>
      </c>
      <c r="H164" s="17">
        <v>3</v>
      </c>
    </row>
    <row r="165" ht="57" customHeight="1" spans="1:8">
      <c r="A165" s="20" t="s">
        <v>536</v>
      </c>
      <c r="B165" s="6" t="s">
        <v>439</v>
      </c>
      <c r="C165" s="6" t="s">
        <v>537</v>
      </c>
      <c r="D165" s="6" t="s">
        <v>12</v>
      </c>
      <c r="E165" s="6" t="s">
        <v>538</v>
      </c>
      <c r="F165" s="6" t="str">
        <f>_xlfn.DISPIMG("ID_48A3557C61994DFC8DCC12D89F69BB58",1)</f>
        <v>=DISPIMG("ID_48A3557C61994DFC8DCC12D89F69BB58",1)</v>
      </c>
      <c r="G165" s="6" t="s">
        <v>408</v>
      </c>
      <c r="H165" s="6">
        <v>1</v>
      </c>
    </row>
    <row r="166" ht="57" customHeight="1" spans="1:8">
      <c r="A166" s="20" t="s">
        <v>539</v>
      </c>
      <c r="B166" s="6" t="s">
        <v>439</v>
      </c>
      <c r="C166" s="6" t="s">
        <v>540</v>
      </c>
      <c r="D166" s="6" t="s">
        <v>507</v>
      </c>
      <c r="E166" s="6" t="s">
        <v>541</v>
      </c>
      <c r="F166" s="6" t="str">
        <f>_xlfn.DISPIMG("ID_3317BB4FBCBF440F8BF9366DE4C6D45C",1)</f>
        <v>=DISPIMG("ID_3317BB4FBCBF440F8BF9366DE4C6D45C",1)</v>
      </c>
      <c r="G166" s="6" t="s">
        <v>14</v>
      </c>
      <c r="H166" s="6">
        <v>3</v>
      </c>
    </row>
    <row r="167" ht="57" customHeight="1" spans="1:8">
      <c r="A167" s="20" t="s">
        <v>542</v>
      </c>
      <c r="B167" s="6" t="s">
        <v>543</v>
      </c>
      <c r="C167" s="6" t="s">
        <v>544</v>
      </c>
      <c r="D167" s="6" t="s">
        <v>491</v>
      </c>
      <c r="E167" s="6" t="s">
        <v>545</v>
      </c>
      <c r="F167" s="6" t="str">
        <f>_xlfn.DISPIMG("ID_D602E23072FE41C4ABE32B77DD8884EB",1)</f>
        <v>=DISPIMG("ID_D602E23072FE41C4ABE32B77DD8884EB",1)</v>
      </c>
      <c r="G167" s="6" t="s">
        <v>408</v>
      </c>
      <c r="H167" s="6">
        <v>3</v>
      </c>
    </row>
    <row r="168" ht="57" customHeight="1" spans="1:8">
      <c r="A168" s="20" t="s">
        <v>546</v>
      </c>
      <c r="B168" s="6" t="s">
        <v>547</v>
      </c>
      <c r="C168" s="6" t="s">
        <v>548</v>
      </c>
      <c r="D168" s="6" t="s">
        <v>12</v>
      </c>
      <c r="E168" s="6" t="s">
        <v>548</v>
      </c>
      <c r="F168" s="6" t="str">
        <f>_xlfn.DISPIMG("ID_E942B2E5019C4F1DAD94D8D730626945",1)</f>
        <v>=DISPIMG("ID_E942B2E5019C4F1DAD94D8D730626945",1)</v>
      </c>
      <c r="G168" s="6" t="s">
        <v>44</v>
      </c>
      <c r="H168" s="6">
        <v>7</v>
      </c>
    </row>
    <row r="169" ht="57" customHeight="1" spans="1:8">
      <c r="A169" s="24" t="s">
        <v>549</v>
      </c>
      <c r="B169" s="25" t="s">
        <v>19</v>
      </c>
      <c r="C169" s="25" t="s">
        <v>550</v>
      </c>
      <c r="D169" s="25" t="s">
        <v>551</v>
      </c>
      <c r="E169" s="25" t="s">
        <v>552</v>
      </c>
      <c r="F169" s="25" t="str">
        <f>_xlfn.DISPIMG("ID_96048CC20A0D452893DE984EBB9B86F4",1)</f>
        <v>=DISPIMG("ID_96048CC20A0D452893DE984EBB9B86F4",1)</v>
      </c>
      <c r="G169" s="25" t="s">
        <v>44</v>
      </c>
      <c r="H169" s="26">
        <v>1</v>
      </c>
    </row>
    <row r="170" ht="57" customHeight="1" spans="1:8">
      <c r="A170" s="24" t="s">
        <v>553</v>
      </c>
      <c r="B170" s="25" t="s">
        <v>19</v>
      </c>
      <c r="C170" s="25" t="s">
        <v>554</v>
      </c>
      <c r="D170" s="25" t="s">
        <v>555</v>
      </c>
      <c r="E170" s="25" t="s">
        <v>556</v>
      </c>
      <c r="F170" s="25" t="str">
        <f>_xlfn.DISPIMG("ID_CE5362FD4D8147208D77D2E25FE5060E",1)</f>
        <v>=DISPIMG("ID_CE5362FD4D8147208D77D2E25FE5060E",1)</v>
      </c>
      <c r="G170" s="25" t="s">
        <v>44</v>
      </c>
      <c r="H170" s="26">
        <v>1</v>
      </c>
    </row>
    <row r="171" ht="57" customHeight="1" spans="1:8">
      <c r="A171" s="24" t="s">
        <v>557</v>
      </c>
      <c r="B171" s="27" t="s">
        <v>19</v>
      </c>
      <c r="C171" s="25" t="s">
        <v>558</v>
      </c>
      <c r="D171" s="27" t="s">
        <v>559</v>
      </c>
      <c r="E171" s="27" t="s">
        <v>560</v>
      </c>
      <c r="F171" s="27" t="str">
        <f>_xlfn.DISPIMG("ID_563E138CF8504F97A8917FADAF805D15",1)</f>
        <v>=DISPIMG("ID_563E138CF8504F97A8917FADAF805D15",1)</v>
      </c>
      <c r="G171" s="26" t="s">
        <v>44</v>
      </c>
      <c r="H171" s="26">
        <v>1</v>
      </c>
    </row>
    <row r="172" ht="57" customHeight="1" spans="1:8">
      <c r="A172" s="24" t="s">
        <v>561</v>
      </c>
      <c r="B172" s="27" t="s">
        <v>19</v>
      </c>
      <c r="C172" s="25" t="s">
        <v>562</v>
      </c>
      <c r="D172" s="27" t="s">
        <v>563</v>
      </c>
      <c r="E172" s="27" t="s">
        <v>564</v>
      </c>
      <c r="F172" s="27" t="str">
        <f>_xlfn.DISPIMG("ID_02C4F256372343FB9A286C70951F3D8B",1)</f>
        <v>=DISPIMG("ID_02C4F256372343FB9A286C70951F3D8B",1)</v>
      </c>
      <c r="G172" s="26" t="s">
        <v>44</v>
      </c>
      <c r="H172" s="26">
        <v>1</v>
      </c>
    </row>
    <row r="173" ht="57" customHeight="1" spans="1:8">
      <c r="A173" s="24" t="s">
        <v>565</v>
      </c>
      <c r="B173" s="25" t="s">
        <v>19</v>
      </c>
      <c r="C173" s="25" t="s">
        <v>566</v>
      </c>
      <c r="D173" s="25" t="s">
        <v>567</v>
      </c>
      <c r="E173" s="25" t="s">
        <v>568</v>
      </c>
      <c r="F173" s="25" t="str">
        <f>_xlfn.DISPIMG("ID_6AF8FC64810445FBA9A6F2C996BE677D",1)</f>
        <v>=DISPIMG("ID_6AF8FC64810445FBA9A6F2C996BE677D",1)</v>
      </c>
      <c r="G173" s="25" t="s">
        <v>44</v>
      </c>
      <c r="H173" s="25">
        <v>1</v>
      </c>
    </row>
    <row r="174" ht="57" customHeight="1" spans="1:8">
      <c r="A174" s="24" t="s">
        <v>569</v>
      </c>
      <c r="B174" s="25" t="s">
        <v>19</v>
      </c>
      <c r="C174" s="25" t="s">
        <v>570</v>
      </c>
      <c r="D174" s="25" t="s">
        <v>12</v>
      </c>
      <c r="E174" s="25" t="s">
        <v>571</v>
      </c>
      <c r="F174" s="25" t="str">
        <f>_xlfn.DISPIMG("ID_1367E7201855400196D4159A10DBB157",1)</f>
        <v>=DISPIMG("ID_1367E7201855400196D4159A10DBB157",1)</v>
      </c>
      <c r="G174" s="25" t="s">
        <v>44</v>
      </c>
      <c r="H174" s="26">
        <v>1</v>
      </c>
    </row>
    <row r="175" ht="57" customHeight="1" spans="1:8">
      <c r="A175" s="24" t="s">
        <v>572</v>
      </c>
      <c r="B175" s="25" t="s">
        <v>19</v>
      </c>
      <c r="C175" s="25" t="s">
        <v>573</v>
      </c>
      <c r="D175" s="25" t="s">
        <v>574</v>
      </c>
      <c r="E175" s="25" t="s">
        <v>575</v>
      </c>
      <c r="F175" s="25" t="str">
        <f>_xlfn.DISPIMG("ID_5E15F86E7EC34D6A940B6C01ECA48DB3",1)</f>
        <v>=DISPIMG("ID_5E15F86E7EC34D6A940B6C01ECA48DB3",1)</v>
      </c>
      <c r="G175" s="25" t="s">
        <v>44</v>
      </c>
      <c r="H175" s="26">
        <v>1</v>
      </c>
    </row>
    <row r="176" ht="57" customHeight="1" spans="1:8">
      <c r="A176" s="24" t="s">
        <v>576</v>
      </c>
      <c r="B176" s="25" t="s">
        <v>19</v>
      </c>
      <c r="C176" s="25" t="s">
        <v>577</v>
      </c>
      <c r="D176" s="25" t="s">
        <v>142</v>
      </c>
      <c r="E176" s="25" t="s">
        <v>578</v>
      </c>
      <c r="F176" s="25" t="str">
        <f>_xlfn.DISPIMG("ID_A2FFC1BA00BA422785B84BDC7338072A",1)</f>
        <v>=DISPIMG("ID_A2FFC1BA00BA422785B84BDC7338072A",1)</v>
      </c>
      <c r="G176" s="25" t="s">
        <v>456</v>
      </c>
      <c r="H176" s="26">
        <v>80</v>
      </c>
    </row>
    <row r="177" ht="57" customHeight="1" spans="1:8">
      <c r="A177" s="24" t="s">
        <v>579</v>
      </c>
      <c r="B177" s="25" t="s">
        <v>580</v>
      </c>
      <c r="C177" s="25" t="s">
        <v>581</v>
      </c>
      <c r="D177" s="25" t="s">
        <v>582</v>
      </c>
      <c r="E177" s="25" t="s">
        <v>583</v>
      </c>
      <c r="F177" s="25"/>
      <c r="G177" s="25" t="s">
        <v>456</v>
      </c>
      <c r="H177" s="26">
        <v>174</v>
      </c>
    </row>
    <row r="178" ht="57" customHeight="1" spans="1:8">
      <c r="A178" s="24" t="s">
        <v>584</v>
      </c>
      <c r="B178" s="27" t="s">
        <v>19</v>
      </c>
      <c r="C178" s="25" t="s">
        <v>20</v>
      </c>
      <c r="D178" s="25" t="s">
        <v>21</v>
      </c>
      <c r="E178" s="27" t="s">
        <v>585</v>
      </c>
      <c r="F178" s="27" t="str">
        <f>_xlfn.DISPIMG("ID_D1127CDAA7944B7D82E9C9440C112D13",1)</f>
        <v>=DISPIMG("ID_D1127CDAA7944B7D82E9C9440C112D13",1)</v>
      </c>
      <c r="G178" s="26" t="s">
        <v>44</v>
      </c>
      <c r="H178" s="26">
        <v>1</v>
      </c>
    </row>
    <row r="179" ht="57" customHeight="1" spans="1:8">
      <c r="A179" s="24" t="s">
        <v>586</v>
      </c>
      <c r="B179" s="25" t="s">
        <v>580</v>
      </c>
      <c r="C179" s="25" t="s">
        <v>587</v>
      </c>
      <c r="D179" s="25" t="s">
        <v>12</v>
      </c>
      <c r="E179" s="25" t="s">
        <v>588</v>
      </c>
      <c r="F179" s="25" t="str">
        <f>_xlfn.DISPIMG("ID_80E4A4A4F284443896B80B95422CDF34",1)</f>
        <v>=DISPIMG("ID_80E4A4A4F284443896B80B95422CDF34",1)</v>
      </c>
      <c r="G179" s="25" t="s">
        <v>44</v>
      </c>
      <c r="H179" s="26">
        <v>1</v>
      </c>
    </row>
    <row r="180" ht="57" customHeight="1" spans="1:8">
      <c r="A180" s="24" t="s">
        <v>589</v>
      </c>
      <c r="B180" s="25" t="s">
        <v>580</v>
      </c>
      <c r="C180" s="25" t="s">
        <v>590</v>
      </c>
      <c r="D180" s="25" t="s">
        <v>591</v>
      </c>
      <c r="E180" s="25" t="s">
        <v>592</v>
      </c>
      <c r="F180" s="25" t="str">
        <f>_xlfn.DISPIMG("ID_B3DC610F57BD42C18344F38D33914A9D",1)</f>
        <v>=DISPIMG("ID_B3DC610F57BD42C18344F38D33914A9D",1)</v>
      </c>
      <c r="G180" s="25" t="s">
        <v>44</v>
      </c>
      <c r="H180" s="26">
        <v>1</v>
      </c>
    </row>
    <row r="181" ht="57" customHeight="1" spans="1:8">
      <c r="A181" s="24" t="s">
        <v>593</v>
      </c>
      <c r="B181" s="25" t="s">
        <v>580</v>
      </c>
      <c r="C181" s="25" t="s">
        <v>594</v>
      </c>
      <c r="D181" s="25" t="s">
        <v>595</v>
      </c>
      <c r="E181" s="25" t="s">
        <v>596</v>
      </c>
      <c r="F181" s="25" t="str">
        <f>_xlfn.DISPIMG("ID_4220CE02F5994EDA91E91D8AE6CF7746",1)</f>
        <v>=DISPIMG("ID_4220CE02F5994EDA91E91D8AE6CF7746",1)</v>
      </c>
      <c r="G181" s="25" t="s">
        <v>44</v>
      </c>
      <c r="H181" s="26">
        <v>1</v>
      </c>
    </row>
    <row r="182" ht="57" customHeight="1" spans="1:8">
      <c r="A182" s="24" t="s">
        <v>597</v>
      </c>
      <c r="B182" s="25" t="s">
        <v>580</v>
      </c>
      <c r="C182" s="25" t="s">
        <v>598</v>
      </c>
      <c r="D182" s="27" t="s">
        <v>599</v>
      </c>
      <c r="E182" s="27" t="s">
        <v>600</v>
      </c>
      <c r="F182" s="27" t="str">
        <f>_xlfn.DISPIMG("ID_D1466E2EA6EB4D97A1E1EBBCAE36F279",1)</f>
        <v>=DISPIMG("ID_D1466E2EA6EB4D97A1E1EBBCAE36F279",1)</v>
      </c>
      <c r="G182" s="25" t="s">
        <v>44</v>
      </c>
      <c r="H182" s="26">
        <v>1</v>
      </c>
    </row>
    <row r="183" ht="57" customHeight="1" spans="1:8">
      <c r="A183" s="24" t="s">
        <v>601</v>
      </c>
      <c r="B183" s="27" t="s">
        <v>19</v>
      </c>
      <c r="C183" s="25" t="s">
        <v>89</v>
      </c>
      <c r="D183" s="27" t="s">
        <v>12</v>
      </c>
      <c r="E183" s="27" t="s">
        <v>602</v>
      </c>
      <c r="F183" s="27" t="str">
        <f>_xlfn.DISPIMG("ID_A0071D12CD77435EAD8FCFF1F9A5DAEE",1)</f>
        <v>=DISPIMG("ID_A0071D12CD77435EAD8FCFF1F9A5DAEE",1)</v>
      </c>
      <c r="G183" s="26" t="s">
        <v>44</v>
      </c>
      <c r="H183" s="26">
        <v>1</v>
      </c>
    </row>
    <row r="184" ht="57" customHeight="1" spans="1:8">
      <c r="A184" s="24" t="s">
        <v>603</v>
      </c>
      <c r="B184" s="27" t="s">
        <v>19</v>
      </c>
      <c r="C184" s="25" t="s">
        <v>604</v>
      </c>
      <c r="D184" s="27" t="s">
        <v>12</v>
      </c>
      <c r="E184" s="27" t="s">
        <v>605</v>
      </c>
      <c r="F184" s="27" t="str">
        <f>_xlfn.DISPIMG("ID_7CADA7BD93DE4E8CB5718D7E9D0540A6",1)</f>
        <v>=DISPIMG("ID_7CADA7BD93DE4E8CB5718D7E9D0540A6",1)</v>
      </c>
      <c r="G184" s="26" t="s">
        <v>44</v>
      </c>
      <c r="H184" s="26">
        <v>1</v>
      </c>
    </row>
    <row r="185" ht="57" customHeight="1" spans="1:8">
      <c r="A185" s="24" t="s">
        <v>606</v>
      </c>
      <c r="B185" s="27" t="s">
        <v>19</v>
      </c>
      <c r="C185" s="25" t="s">
        <v>607</v>
      </c>
      <c r="D185" s="27" t="s">
        <v>12</v>
      </c>
      <c r="E185" s="27" t="s">
        <v>605</v>
      </c>
      <c r="F185" s="27" t="str">
        <f>_xlfn.DISPIMG("ID_132E7AE9D7F8413C8764DA9E6E44992D",1)</f>
        <v>=DISPIMG("ID_132E7AE9D7F8413C8764DA9E6E44992D",1)</v>
      </c>
      <c r="G185" s="26" t="s">
        <v>44</v>
      </c>
      <c r="H185" s="26">
        <v>1</v>
      </c>
    </row>
    <row r="186" ht="57" customHeight="1" spans="1:8">
      <c r="A186" s="24" t="s">
        <v>608</v>
      </c>
      <c r="B186" s="27" t="s">
        <v>580</v>
      </c>
      <c r="C186" s="25" t="s">
        <v>609</v>
      </c>
      <c r="D186" s="27" t="s">
        <v>12</v>
      </c>
      <c r="E186" s="27" t="s">
        <v>610</v>
      </c>
      <c r="F186" s="27" t="str">
        <f>_xlfn.DISPIMG("ID_CDF3B40676AA4A0B8ABB5AA8FDF6E5EE",1)</f>
        <v>=DISPIMG("ID_CDF3B40676AA4A0B8ABB5AA8FDF6E5EE",1)</v>
      </c>
      <c r="G186" s="26" t="s">
        <v>44</v>
      </c>
      <c r="H186" s="26">
        <v>1</v>
      </c>
    </row>
    <row r="187" ht="57" customHeight="1" spans="1:8">
      <c r="A187" s="24" t="s">
        <v>611</v>
      </c>
      <c r="B187" s="27" t="s">
        <v>580</v>
      </c>
      <c r="C187" s="25" t="s">
        <v>612</v>
      </c>
      <c r="D187" s="27" t="s">
        <v>613</v>
      </c>
      <c r="E187" s="27" t="s">
        <v>614</v>
      </c>
      <c r="F187" s="27" t="str">
        <f>_xlfn.DISPIMG("ID_11A847B7FCA44B3AAFC5886908CFB524",1)</f>
        <v>=DISPIMG("ID_11A847B7FCA44B3AAFC5886908CFB524",1)</v>
      </c>
      <c r="G187" s="26" t="s">
        <v>44</v>
      </c>
      <c r="H187" s="26">
        <v>1</v>
      </c>
    </row>
    <row r="188" ht="57" customHeight="1" spans="1:8">
      <c r="A188" s="24" t="s">
        <v>615</v>
      </c>
      <c r="B188" s="27" t="s">
        <v>19</v>
      </c>
      <c r="C188" s="25" t="s">
        <v>616</v>
      </c>
      <c r="D188" s="27" t="s">
        <v>617</v>
      </c>
      <c r="E188" s="27" t="s">
        <v>618</v>
      </c>
      <c r="F188" s="27" t="str">
        <f>_xlfn.DISPIMG("ID_71E7C6BB84B544FE8C8AFF7CD2C9E9F5",1)</f>
        <v>=DISPIMG("ID_71E7C6BB84B544FE8C8AFF7CD2C9E9F5",1)</v>
      </c>
      <c r="G188" s="26" t="s">
        <v>44</v>
      </c>
      <c r="H188" s="26">
        <v>1</v>
      </c>
    </row>
    <row r="189" ht="57" customHeight="1" spans="1:8">
      <c r="A189" s="24" t="s">
        <v>619</v>
      </c>
      <c r="B189" s="25" t="s">
        <v>497</v>
      </c>
      <c r="C189" s="25" t="s">
        <v>620</v>
      </c>
      <c r="D189" s="27" t="s">
        <v>621</v>
      </c>
      <c r="E189" s="25" t="s">
        <v>620</v>
      </c>
      <c r="F189" s="27" t="str">
        <f>_xlfn.DISPIMG("ID_8856C6F874E44EE38BFD2629B74AFDD3",1)</f>
        <v>=DISPIMG("ID_8856C6F874E44EE38BFD2629B74AFDD3",1)</v>
      </c>
      <c r="G189" s="25" t="s">
        <v>14</v>
      </c>
      <c r="H189" s="25">
        <v>60</v>
      </c>
    </row>
    <row r="190" ht="57" customHeight="1" spans="1:8">
      <c r="A190" s="24" t="s">
        <v>622</v>
      </c>
      <c r="B190" s="25" t="s">
        <v>623</v>
      </c>
      <c r="C190" s="25" t="s">
        <v>624</v>
      </c>
      <c r="D190" s="27" t="s">
        <v>625</v>
      </c>
      <c r="E190" s="27" t="s">
        <v>626</v>
      </c>
      <c r="F190" s="27" t="str">
        <f>_xlfn.DISPIMG("ID_34C8001B259D4B83AAD3D35E557FABC0",1)</f>
        <v>=DISPIMG("ID_34C8001B259D4B83AAD3D35E557FABC0",1)</v>
      </c>
      <c r="G190" s="25" t="s">
        <v>44</v>
      </c>
      <c r="H190" s="25">
        <v>1</v>
      </c>
    </row>
    <row r="191" ht="57" customHeight="1" spans="1:8">
      <c r="A191" s="28" t="s">
        <v>627</v>
      </c>
      <c r="B191" s="25" t="s">
        <v>628</v>
      </c>
      <c r="C191" s="25" t="s">
        <v>629</v>
      </c>
      <c r="D191" s="25" t="s">
        <v>630</v>
      </c>
      <c r="E191" s="25" t="s">
        <v>631</v>
      </c>
      <c r="F191" s="5" t="str">
        <f>_xlfn.DISPIMG("ID_CCC71DF850904FA59C242919FEA32887",1)</f>
        <v>=DISPIMG("ID_CCC71DF850904FA59C242919FEA32887",1)</v>
      </c>
      <c r="G191" s="25" t="s">
        <v>14</v>
      </c>
      <c r="H191" s="25">
        <v>5</v>
      </c>
    </row>
    <row r="192" ht="57" customHeight="1" spans="1:8">
      <c r="A192" s="28" t="s">
        <v>632</v>
      </c>
      <c r="B192" s="5" t="s">
        <v>19</v>
      </c>
      <c r="C192" s="25" t="s">
        <v>633</v>
      </c>
      <c r="D192" s="5" t="s">
        <v>634</v>
      </c>
      <c r="E192" s="5" t="s">
        <v>635</v>
      </c>
      <c r="F192" s="5" t="str">
        <f>_xlfn.DISPIMG("ID_F3BD277207944F01825EC17180D01392",1)</f>
        <v>=DISPIMG("ID_F3BD277207944F01825EC17180D01392",1)</v>
      </c>
      <c r="G192" s="25" t="s">
        <v>14</v>
      </c>
      <c r="H192" s="26">
        <v>1</v>
      </c>
    </row>
    <row r="193" ht="57" customHeight="1" spans="1:8">
      <c r="A193" s="29" t="s">
        <v>636</v>
      </c>
      <c r="B193" s="6" t="s">
        <v>19</v>
      </c>
      <c r="C193" s="6" t="s">
        <v>637</v>
      </c>
      <c r="D193" s="6" t="s">
        <v>12</v>
      </c>
      <c r="E193" s="6" t="s">
        <v>638</v>
      </c>
      <c r="F193" s="6" t="str">
        <f>_xlfn.DISPIMG("ID_88173B6F72E749E89D07311CD9671125",1)</f>
        <v>=DISPIMG("ID_88173B6F72E749E89D07311CD9671125",1)</v>
      </c>
      <c r="G193" s="6" t="s">
        <v>44</v>
      </c>
      <c r="H193" s="17">
        <v>1</v>
      </c>
    </row>
    <row r="194" ht="57" customHeight="1" spans="1:8">
      <c r="A194" s="29" t="s">
        <v>639</v>
      </c>
      <c r="B194" s="6" t="s">
        <v>19</v>
      </c>
      <c r="C194" s="6" t="s">
        <v>640</v>
      </c>
      <c r="D194" s="6" t="s">
        <v>68</v>
      </c>
      <c r="E194" s="6" t="s">
        <v>638</v>
      </c>
      <c r="F194" s="6" t="str">
        <f>_xlfn.DISPIMG("ID_C5D9D0B4E6214FE1BD8CE05D1EA1F645",1)</f>
        <v>=DISPIMG("ID_C5D9D0B4E6214FE1BD8CE05D1EA1F645",1)</v>
      </c>
      <c r="G194" s="6" t="s">
        <v>44</v>
      </c>
      <c r="H194" s="17">
        <v>1</v>
      </c>
    </row>
    <row r="195" ht="57" customHeight="1" spans="1:8">
      <c r="A195" s="30" t="s">
        <v>641</v>
      </c>
      <c r="B195" s="31" t="s">
        <v>642</v>
      </c>
      <c r="C195" s="31" t="s">
        <v>643</v>
      </c>
      <c r="D195" s="31" t="s">
        <v>12</v>
      </c>
      <c r="E195" s="31" t="s">
        <v>644</v>
      </c>
      <c r="F195" s="10" t="str">
        <f>_xlfn.DISPIMG("ID_4EC56FE900D1472693C38308C3722D24",1)</f>
        <v>=DISPIMG("ID_4EC56FE900D1472693C38308C3722D24",1)</v>
      </c>
      <c r="G195" s="32" t="s">
        <v>14</v>
      </c>
      <c r="H195" s="32">
        <v>2</v>
      </c>
    </row>
    <row r="196" ht="57" customHeight="1" spans="1:8">
      <c r="A196" s="29" t="s">
        <v>645</v>
      </c>
      <c r="B196" s="25" t="s">
        <v>646</v>
      </c>
      <c r="C196" s="25" t="s">
        <v>647</v>
      </c>
      <c r="D196" s="25" t="s">
        <v>12</v>
      </c>
      <c r="E196" s="25" t="s">
        <v>648</v>
      </c>
      <c r="F196" s="6" t="str">
        <f>_xlfn.DISPIMG("ID_6612C60656AB4E08AB881269376014AE",1)</f>
        <v>=DISPIMG("ID_6612C60656AB4E08AB881269376014AE",1)</v>
      </c>
      <c r="G196" s="26" t="s">
        <v>14</v>
      </c>
      <c r="H196" s="26">
        <v>2</v>
      </c>
    </row>
    <row r="197" ht="57" customHeight="1" spans="1:8">
      <c r="A197" s="29" t="s">
        <v>649</v>
      </c>
      <c r="B197" s="25" t="s">
        <v>650</v>
      </c>
      <c r="C197" s="25" t="s">
        <v>651</v>
      </c>
      <c r="D197" s="25" t="s">
        <v>68</v>
      </c>
      <c r="E197" s="25" t="s">
        <v>652</v>
      </c>
      <c r="F197" s="6" t="str">
        <f>_xlfn.DISPIMG("ID_0C59DDA424444D1A873FF2097A7A7C65",1)</f>
        <v>=DISPIMG("ID_0C59DDA424444D1A873FF2097A7A7C65",1)</v>
      </c>
      <c r="G197" s="26" t="s">
        <v>14</v>
      </c>
      <c r="H197" s="26">
        <v>2</v>
      </c>
    </row>
    <row r="198" ht="57" customHeight="1" spans="1:8">
      <c r="A198" s="29" t="s">
        <v>653</v>
      </c>
      <c r="B198" s="25" t="s">
        <v>654</v>
      </c>
      <c r="C198" s="25" t="s">
        <v>655</v>
      </c>
      <c r="D198" s="25" t="s">
        <v>68</v>
      </c>
      <c r="E198" s="25" t="s">
        <v>656</v>
      </c>
      <c r="F198" s="6" t="str">
        <f>_xlfn.DISPIMG("ID_40360763E9754942A878D5EF3DACA65C",1)</f>
        <v>=DISPIMG("ID_40360763E9754942A878D5EF3DACA65C",1)</v>
      </c>
      <c r="G198" s="26" t="s">
        <v>14</v>
      </c>
      <c r="H198" s="26">
        <v>2</v>
      </c>
    </row>
    <row r="199" ht="57" customHeight="1" spans="1:8">
      <c r="A199" s="29" t="s">
        <v>657</v>
      </c>
      <c r="B199" s="25" t="s">
        <v>658</v>
      </c>
      <c r="C199" s="25" t="s">
        <v>659</v>
      </c>
      <c r="D199" s="25" t="s">
        <v>12</v>
      </c>
      <c r="E199" s="25" t="s">
        <v>660</v>
      </c>
      <c r="F199" s="6" t="str">
        <f>_xlfn.DISPIMG("ID_A96F5FEA67DD44158AD69B242A038435",1)</f>
        <v>=DISPIMG("ID_A96F5FEA67DD44158AD69B242A038435",1)</v>
      </c>
      <c r="G199" s="26" t="s">
        <v>14</v>
      </c>
      <c r="H199" s="26">
        <v>1</v>
      </c>
    </row>
    <row r="200" ht="57" customHeight="1" spans="1:8">
      <c r="A200" s="33" t="s">
        <v>661</v>
      </c>
      <c r="B200" s="34" t="s">
        <v>662</v>
      </c>
      <c r="C200" s="34" t="s">
        <v>663</v>
      </c>
      <c r="D200" s="34" t="s">
        <v>664</v>
      </c>
      <c r="E200" s="34" t="s">
        <v>665</v>
      </c>
      <c r="F200" s="9" t="str">
        <f>_xlfn.DISPIMG("ID_1CBAF89624AC446F94A5576E862F5F9F",1)</f>
        <v>=DISPIMG("ID_1CBAF89624AC446F94A5576E862F5F9F",1)</v>
      </c>
      <c r="G200" s="35" t="s">
        <v>14</v>
      </c>
      <c r="H200" s="35">
        <v>2</v>
      </c>
    </row>
    <row r="201" ht="57" customHeight="1" spans="1:8">
      <c r="A201" s="29" t="s">
        <v>666</v>
      </c>
      <c r="B201" s="6" t="s">
        <v>667</v>
      </c>
      <c r="C201" s="6" t="s">
        <v>668</v>
      </c>
      <c r="D201" s="6" t="s">
        <v>664</v>
      </c>
      <c r="E201" s="6" t="s">
        <v>669</v>
      </c>
      <c r="F201" s="6" t="str">
        <f>_xlfn.DISPIMG("ID_7FF9C2C17C5B4387944F52A354DF7D0D",1)</f>
        <v>=DISPIMG("ID_7FF9C2C17C5B4387944F52A354DF7D0D",1)</v>
      </c>
      <c r="G201" s="17" t="s">
        <v>14</v>
      </c>
      <c r="H201" s="17">
        <v>2</v>
      </c>
    </row>
    <row r="202" ht="57" customHeight="1" spans="1:8">
      <c r="A202" s="20" t="s">
        <v>670</v>
      </c>
      <c r="B202" s="6" t="s">
        <v>671</v>
      </c>
      <c r="C202" s="6" t="s">
        <v>672</v>
      </c>
      <c r="D202" s="6" t="s">
        <v>664</v>
      </c>
      <c r="E202" s="6" t="s">
        <v>673</v>
      </c>
      <c r="F202" s="6" t="str">
        <f>_xlfn.DISPIMG("ID_E3C1D8C8F6BC45FFA9E8436FE5B28F97",1)</f>
        <v>=DISPIMG("ID_E3C1D8C8F6BC45FFA9E8436FE5B28F97",1)</v>
      </c>
      <c r="G202" s="17" t="s">
        <v>14</v>
      </c>
      <c r="H202" s="17">
        <v>3</v>
      </c>
    </row>
    <row r="203" ht="57" customHeight="1" spans="1:8">
      <c r="A203" s="20" t="s">
        <v>674</v>
      </c>
      <c r="B203" s="6" t="s">
        <v>675</v>
      </c>
      <c r="C203" s="6" t="s">
        <v>676</v>
      </c>
      <c r="D203" s="6" t="s">
        <v>12</v>
      </c>
      <c r="E203" s="6" t="s">
        <v>677</v>
      </c>
      <c r="F203" s="6" t="str">
        <f>_xlfn.DISPIMG("ID_BFDE7E196EB54A5BAEC9335E53046E94",1)</f>
        <v>=DISPIMG("ID_BFDE7E196EB54A5BAEC9335E53046E94",1)</v>
      </c>
      <c r="G203" s="17" t="s">
        <v>14</v>
      </c>
      <c r="H203" s="17">
        <v>8.8</v>
      </c>
    </row>
    <row r="204" ht="57" customHeight="1" spans="1:8">
      <c r="A204" s="23" t="s">
        <v>678</v>
      </c>
      <c r="B204" s="31" t="s">
        <v>679</v>
      </c>
      <c r="C204" s="31" t="s">
        <v>680</v>
      </c>
      <c r="D204" s="31" t="s">
        <v>681</v>
      </c>
      <c r="E204" s="31" t="str">
        <f>_xlfn.DISPIMG("ID_4F1E2568F21D4C3F93C74D876FC17954",1)</f>
        <v>=DISPIMG("ID_4F1E2568F21D4C3F93C74D876FC17954",1)</v>
      </c>
      <c r="F204" s="10" t="str">
        <f>_xlfn.DISPIMG("ID_375075DB8ADD49BC9E8A67D7F92A550F",1)</f>
        <v>=DISPIMG("ID_375075DB8ADD49BC9E8A67D7F92A550F",1)</v>
      </c>
      <c r="G204" s="32" t="s">
        <v>44</v>
      </c>
      <c r="H204" s="32">
        <v>1</v>
      </c>
    </row>
    <row r="205" ht="57" customHeight="1" spans="1:8">
      <c r="A205" s="6" t="s">
        <v>682</v>
      </c>
      <c r="B205" s="6" t="s">
        <v>683</v>
      </c>
      <c r="C205" s="6" t="s">
        <v>684</v>
      </c>
      <c r="D205" s="6" t="s">
        <v>12</v>
      </c>
      <c r="E205" s="6" t="s">
        <v>522</v>
      </c>
      <c r="F205" s="6" t="str">
        <f>_xlfn.DISPIMG("ID_0E198AB449AA4371A7D85AD80418CC4C",1)</f>
        <v>=DISPIMG("ID_0E198AB449AA4371A7D85AD80418CC4C",1)</v>
      </c>
      <c r="G205" s="6" t="s">
        <v>685</v>
      </c>
      <c r="H205" s="17">
        <v>2</v>
      </c>
    </row>
    <row r="206" ht="57" customHeight="1" spans="1:8">
      <c r="A206" s="6" t="s">
        <v>686</v>
      </c>
      <c r="B206" s="6" t="s">
        <v>687</v>
      </c>
      <c r="C206" s="6" t="s">
        <v>688</v>
      </c>
      <c r="D206" s="6" t="s">
        <v>567</v>
      </c>
      <c r="E206" s="6" t="s">
        <v>689</v>
      </c>
      <c r="F206" s="6" t="str">
        <f>_xlfn.DISPIMG("ID_1F175E0A77134A459920F653C3B8382F",1)</f>
        <v>=DISPIMG("ID_1F175E0A77134A459920F653C3B8382F",1)</v>
      </c>
      <c r="G206" s="6" t="s">
        <v>44</v>
      </c>
      <c r="H206" s="17">
        <v>3</v>
      </c>
    </row>
    <row r="207" ht="57" customHeight="1" spans="1:8">
      <c r="A207" s="6" t="s">
        <v>690</v>
      </c>
      <c r="B207" s="6" t="s">
        <v>691</v>
      </c>
      <c r="C207" s="6" t="s">
        <v>692</v>
      </c>
      <c r="D207" s="6" t="s">
        <v>693</v>
      </c>
      <c r="E207" s="6" t="s">
        <v>694</v>
      </c>
      <c r="F207" s="6" t="str">
        <f>_xlfn.DISPIMG("ID_A3460C7524D84C048D2FB165E55E8777",1)</f>
        <v>=DISPIMG("ID_A3460C7524D84C048D2FB165E55E8777",1)</v>
      </c>
      <c r="G207" s="6" t="s">
        <v>413</v>
      </c>
      <c r="H207" s="17">
        <v>3</v>
      </c>
    </row>
    <row r="208" ht="57" customHeight="1" spans="1:8">
      <c r="A208" s="6" t="s">
        <v>695</v>
      </c>
      <c r="B208" s="6" t="s">
        <v>696</v>
      </c>
      <c r="C208" s="6" t="s">
        <v>697</v>
      </c>
      <c r="D208" s="6" t="s">
        <v>698</v>
      </c>
      <c r="E208" s="6" t="s">
        <v>699</v>
      </c>
      <c r="F208" s="6" t="str">
        <f>_xlfn.DISPIMG("ID_7AF86CC5CD684324AA3AB93064BED290",1)</f>
        <v>=DISPIMG("ID_7AF86CC5CD684324AA3AB93064BED290",1)</v>
      </c>
      <c r="G208" s="6" t="s">
        <v>413</v>
      </c>
      <c r="H208" s="17">
        <v>2</v>
      </c>
    </row>
    <row r="209" ht="57" customHeight="1" spans="1:8">
      <c r="A209" s="6" t="s">
        <v>700</v>
      </c>
      <c r="B209" s="6" t="s">
        <v>701</v>
      </c>
      <c r="C209" s="89" t="s">
        <v>702</v>
      </c>
      <c r="D209" s="6" t="s">
        <v>12</v>
      </c>
      <c r="E209" s="6" t="s">
        <v>703</v>
      </c>
      <c r="F209" s="6" t="str">
        <f>_xlfn.DISPIMG("ID_DC7ECEC0610646B598ED886517904B6E",1)</f>
        <v>=DISPIMG("ID_DC7ECEC0610646B598ED886517904B6E",1)</v>
      </c>
      <c r="G209" s="6" t="s">
        <v>704</v>
      </c>
      <c r="H209" s="17">
        <v>4</v>
      </c>
    </row>
    <row r="210" ht="57" customHeight="1" spans="1:8">
      <c r="A210" s="6" t="s">
        <v>705</v>
      </c>
      <c r="B210" s="6" t="s">
        <v>706</v>
      </c>
      <c r="C210" s="6" t="s">
        <v>707</v>
      </c>
      <c r="D210" s="6" t="s">
        <v>12</v>
      </c>
      <c r="E210" s="6" t="s">
        <v>708</v>
      </c>
      <c r="F210" s="6" t="str">
        <f>_xlfn.DISPIMG("ID_CF05D54460984F42B19725F203E7A389",1)</f>
        <v>=DISPIMG("ID_CF05D54460984F42B19725F203E7A389",1)</v>
      </c>
      <c r="G210" s="6" t="s">
        <v>704</v>
      </c>
      <c r="H210" s="17">
        <v>2</v>
      </c>
    </row>
    <row r="211" ht="57" customHeight="1" spans="1:8">
      <c r="A211" s="6" t="s">
        <v>709</v>
      </c>
      <c r="B211" s="6" t="s">
        <v>19</v>
      </c>
      <c r="C211" s="6" t="s">
        <v>710</v>
      </c>
      <c r="D211" s="6" t="s">
        <v>12</v>
      </c>
      <c r="E211" s="6" t="s">
        <v>711</v>
      </c>
      <c r="F211" s="6" t="str">
        <f>_xlfn.DISPIMG("ID_C06205D39411410D80C57B4782E0BCE9",1)</f>
        <v>=DISPIMG("ID_C06205D39411410D80C57B4782E0BCE9",1)</v>
      </c>
      <c r="G211" s="6" t="s">
        <v>685</v>
      </c>
      <c r="H211" s="17">
        <v>1</v>
      </c>
    </row>
    <row r="212" ht="57" customHeight="1" spans="1:8">
      <c r="A212" s="6" t="s">
        <v>712</v>
      </c>
      <c r="B212" s="6" t="s">
        <v>246</v>
      </c>
      <c r="C212" s="6" t="s">
        <v>713</v>
      </c>
      <c r="D212" s="6" t="s">
        <v>714</v>
      </c>
      <c r="E212" s="6" t="s">
        <v>715</v>
      </c>
      <c r="F212" s="6" t="str">
        <f>_xlfn.DISPIMG("ID_B67262CB9DD949509F41884A72D2B811",1)</f>
        <v>=DISPIMG("ID_B67262CB9DD949509F41884A72D2B811",1)</v>
      </c>
      <c r="G212" s="6" t="s">
        <v>685</v>
      </c>
      <c r="H212" s="17">
        <v>1</v>
      </c>
    </row>
    <row r="213" ht="57" customHeight="1" spans="1:8">
      <c r="A213" s="6" t="s">
        <v>716</v>
      </c>
      <c r="B213" s="6" t="s">
        <v>717</v>
      </c>
      <c r="C213" s="6" t="s">
        <v>718</v>
      </c>
      <c r="D213" s="6" t="s">
        <v>719</v>
      </c>
      <c r="E213" s="6" t="s">
        <v>720</v>
      </c>
      <c r="F213" s="6" t="str">
        <f>_xlfn.DISPIMG("ID_2E415623B40147179E40334DE2E63E13",1)</f>
        <v>=DISPIMG("ID_2E415623B40147179E40334DE2E63E13",1)</v>
      </c>
      <c r="G213" s="6" t="s">
        <v>44</v>
      </c>
      <c r="H213" s="17">
        <v>2</v>
      </c>
    </row>
    <row r="214" ht="57" customHeight="1" spans="1:8">
      <c r="A214" s="19" t="s">
        <v>721</v>
      </c>
      <c r="B214" s="6" t="s">
        <v>687</v>
      </c>
      <c r="C214" s="6" t="s">
        <v>722</v>
      </c>
      <c r="D214" s="6" t="s">
        <v>567</v>
      </c>
      <c r="E214" s="6" t="s">
        <v>723</v>
      </c>
      <c r="F214" s="6" t="str">
        <f>_xlfn.DISPIMG("ID_9BE5A6EF49E846D48289A3BE37A7AA4B",1)</f>
        <v>=DISPIMG("ID_9BE5A6EF49E846D48289A3BE37A7AA4B",1)</v>
      </c>
      <c r="G214" s="6" t="s">
        <v>724</v>
      </c>
      <c r="H214" s="17">
        <v>1</v>
      </c>
    </row>
    <row r="215" ht="57" customHeight="1" spans="1:8">
      <c r="A215" s="6" t="s">
        <v>725</v>
      </c>
      <c r="B215" s="19" t="s">
        <v>726</v>
      </c>
      <c r="C215" s="6" t="s">
        <v>727</v>
      </c>
      <c r="D215" s="6" t="s">
        <v>728</v>
      </c>
      <c r="E215" s="6" t="s">
        <v>729</v>
      </c>
      <c r="F215" s="6" t="str">
        <f>_xlfn.DISPIMG("ID_D274CA2E3EF94B9FBE32E810C7343404",1)</f>
        <v>=DISPIMG("ID_D274CA2E3EF94B9FBE32E810C7343404",1)</v>
      </c>
      <c r="G215" s="6" t="s">
        <v>44</v>
      </c>
      <c r="H215" s="17">
        <v>1</v>
      </c>
    </row>
    <row r="216" ht="57" customHeight="1" spans="1:8">
      <c r="A216" s="6" t="s">
        <v>730</v>
      </c>
      <c r="B216" s="6" t="s">
        <v>731</v>
      </c>
      <c r="C216" s="6" t="s">
        <v>732</v>
      </c>
      <c r="D216" s="6" t="s">
        <v>12</v>
      </c>
      <c r="E216" s="6" t="s">
        <v>733</v>
      </c>
      <c r="F216" s="6" t="str">
        <f>_xlfn.DISPIMG("ID_8F2E8988AB2F41198F48EF6774EACDE5",1)</f>
        <v>=DISPIMG("ID_8F2E8988AB2F41198F48EF6774EACDE5",1)</v>
      </c>
      <c r="G216" s="6" t="s">
        <v>44</v>
      </c>
      <c r="H216" s="17">
        <v>32</v>
      </c>
    </row>
    <row r="217" ht="57" customHeight="1" spans="1:8">
      <c r="A217" s="6" t="s">
        <v>734</v>
      </c>
      <c r="B217" s="6" t="s">
        <v>735</v>
      </c>
      <c r="C217" s="19" t="s">
        <v>736</v>
      </c>
      <c r="D217" s="6" t="s">
        <v>12</v>
      </c>
      <c r="E217" s="6" t="s">
        <v>737</v>
      </c>
      <c r="F217" s="20" t="str">
        <f>_xlfn.DISPIMG("ID_0B4E95C8A6E244ECBB0BABD50030066B",1)</f>
        <v>=DISPIMG("ID_0B4E95C8A6E244ECBB0BABD50030066B",1)</v>
      </c>
      <c r="G217" s="6" t="s">
        <v>44</v>
      </c>
      <c r="H217" s="17">
        <v>2</v>
      </c>
    </row>
    <row r="218" ht="57" customHeight="1" spans="1:8">
      <c r="A218" s="6" t="s">
        <v>738</v>
      </c>
      <c r="B218" s="6" t="s">
        <v>739</v>
      </c>
      <c r="C218" s="36" t="s">
        <v>740</v>
      </c>
      <c r="D218" s="17" t="s">
        <v>719</v>
      </c>
      <c r="E218" s="17" t="s">
        <v>741</v>
      </c>
      <c r="F218" s="37" t="str">
        <f>_xlfn.DISPIMG("ID_C0569FC8AF3A4F93934CEDF80019CF5D",1)</f>
        <v>=DISPIMG("ID_C0569FC8AF3A4F93934CEDF80019CF5D",1)</v>
      </c>
      <c r="G218" s="6" t="s">
        <v>44</v>
      </c>
      <c r="H218" s="17">
        <v>1</v>
      </c>
    </row>
    <row r="219" ht="57" customHeight="1" spans="1:8">
      <c r="A219" s="6" t="s">
        <v>742</v>
      </c>
      <c r="B219" s="6" t="s">
        <v>743</v>
      </c>
      <c r="C219" s="6" t="s">
        <v>744</v>
      </c>
      <c r="D219" s="6" t="s">
        <v>728</v>
      </c>
      <c r="E219" s="6" t="s">
        <v>745</v>
      </c>
      <c r="F219" s="6" t="str">
        <f>_xlfn.DISPIMG("ID_CFB8F4D32C7B413EB49D0A1769DF7B7F",1)</f>
        <v>=DISPIMG("ID_CFB8F4D32C7B413EB49D0A1769DF7B7F",1)</v>
      </c>
      <c r="G219" s="6" t="s">
        <v>44</v>
      </c>
      <c r="H219" s="17">
        <v>2</v>
      </c>
    </row>
    <row r="220" ht="57" customHeight="1" spans="1:8">
      <c r="A220" s="6" t="s">
        <v>746</v>
      </c>
      <c r="B220" s="6" t="s">
        <v>747</v>
      </c>
      <c r="C220" s="6" t="s">
        <v>725</v>
      </c>
      <c r="D220" s="6" t="s">
        <v>12</v>
      </c>
      <c r="E220" s="6" t="s">
        <v>748</v>
      </c>
      <c r="F220" s="6" t="str">
        <f>_xlfn.DISPIMG("ID_5F93D7136B114D9D99D6A599DAA3F91C",1)</f>
        <v>=DISPIMG("ID_5F93D7136B114D9D99D6A599DAA3F91C",1)</v>
      </c>
      <c r="G220" s="6" t="s">
        <v>704</v>
      </c>
      <c r="H220" s="17">
        <v>4</v>
      </c>
    </row>
    <row r="221" ht="57" customHeight="1" spans="1:8">
      <c r="A221" s="6" t="s">
        <v>749</v>
      </c>
      <c r="B221" s="6" t="s">
        <v>750</v>
      </c>
      <c r="C221" s="6" t="s">
        <v>751</v>
      </c>
      <c r="D221" s="6" t="s">
        <v>12</v>
      </c>
      <c r="E221" s="6" t="s">
        <v>752</v>
      </c>
      <c r="F221" s="5" t="str">
        <f>_xlfn.DISPIMG("ID_62410508753F4DFABA85B3290E7CAB97",1)</f>
        <v>=DISPIMG("ID_62410508753F4DFABA85B3290E7CAB97",1)</v>
      </c>
      <c r="G221" s="6" t="s">
        <v>44</v>
      </c>
      <c r="H221" s="17">
        <v>2</v>
      </c>
    </row>
    <row r="222" ht="57" customHeight="1" spans="1:8">
      <c r="A222" s="6" t="s">
        <v>753</v>
      </c>
      <c r="B222" s="6" t="s">
        <v>754</v>
      </c>
      <c r="C222" s="6" t="s">
        <v>755</v>
      </c>
      <c r="D222" s="6" t="s">
        <v>698</v>
      </c>
      <c r="E222" s="6" t="s">
        <v>756</v>
      </c>
      <c r="F222" s="5" t="str">
        <f>_xlfn.DISPIMG("ID_B475A0F34BA6417D9C4C7613AC74D2C0",1)</f>
        <v>=DISPIMG("ID_B475A0F34BA6417D9C4C7613AC74D2C0",1)</v>
      </c>
      <c r="G222" s="17" t="s">
        <v>44</v>
      </c>
      <c r="H222" s="17">
        <v>1</v>
      </c>
    </row>
    <row r="223" ht="57" customHeight="1" spans="1:8">
      <c r="A223" s="6" t="s">
        <v>757</v>
      </c>
      <c r="B223" s="6" t="s">
        <v>758</v>
      </c>
      <c r="C223" s="6" t="s">
        <v>759</v>
      </c>
      <c r="D223" s="6" t="s">
        <v>12</v>
      </c>
      <c r="E223" s="6" t="s">
        <v>760</v>
      </c>
      <c r="F223" s="5" t="str">
        <f>_xlfn.DISPIMG("ID_F9CC14D4BCD24A29B7A1D91E65D8965E",1)</f>
        <v>=DISPIMG("ID_F9CC14D4BCD24A29B7A1D91E65D8965E",1)</v>
      </c>
      <c r="G223" s="17" t="s">
        <v>44</v>
      </c>
      <c r="H223" s="17">
        <v>2</v>
      </c>
    </row>
    <row r="224" ht="57" customHeight="1" spans="1:8">
      <c r="A224" s="6" t="s">
        <v>761</v>
      </c>
      <c r="B224" s="6" t="s">
        <v>762</v>
      </c>
      <c r="C224" s="6">
        <v>5048</v>
      </c>
      <c r="D224" s="6" t="s">
        <v>12</v>
      </c>
      <c r="E224" s="6" t="s">
        <v>763</v>
      </c>
      <c r="F224" s="6" t="str">
        <f>_xlfn.DISPIMG("ID_BB8AE2420074404A993E9251DC3850B7",1)</f>
        <v>=DISPIMG("ID_BB8AE2420074404A993E9251DC3850B7",1)</v>
      </c>
      <c r="G224" s="6" t="s">
        <v>704</v>
      </c>
      <c r="H224" s="17">
        <v>2</v>
      </c>
    </row>
    <row r="225" ht="57" customHeight="1" spans="1:8">
      <c r="A225" s="6" t="s">
        <v>764</v>
      </c>
      <c r="B225" s="6" t="s">
        <v>765</v>
      </c>
      <c r="C225" s="89" t="s">
        <v>766</v>
      </c>
      <c r="D225" s="6" t="s">
        <v>767</v>
      </c>
      <c r="E225" s="6" t="s">
        <v>768</v>
      </c>
      <c r="F225" s="6" t="str">
        <f>_xlfn.DISPIMG("ID_B1EC9AE1681941F1BF8A9EFDA7592A96",1)</f>
        <v>=DISPIMG("ID_B1EC9AE1681941F1BF8A9EFDA7592A96",1)</v>
      </c>
      <c r="G225" s="6" t="s">
        <v>44</v>
      </c>
      <c r="H225" s="17">
        <v>3</v>
      </c>
    </row>
    <row r="226" ht="57" customHeight="1" spans="1:8">
      <c r="A226" s="6" t="s">
        <v>769</v>
      </c>
      <c r="B226" s="6" t="s">
        <v>770</v>
      </c>
      <c r="C226" s="6" t="s">
        <v>771</v>
      </c>
      <c r="D226" s="6" t="s">
        <v>772</v>
      </c>
      <c r="E226" s="6" t="s">
        <v>773</v>
      </c>
      <c r="F226" s="6" t="str">
        <f>_xlfn.DISPIMG("ID_362DE2345ECA447B815DCA88A51044D9",1)</f>
        <v>=DISPIMG("ID_362DE2345ECA447B815DCA88A51044D9",1)</v>
      </c>
      <c r="G226" s="6" t="s">
        <v>44</v>
      </c>
      <c r="H226" s="17">
        <v>2</v>
      </c>
    </row>
    <row r="227" ht="57" customHeight="1" spans="1:8">
      <c r="A227" s="6" t="s">
        <v>774</v>
      </c>
      <c r="B227" s="6" t="s">
        <v>775</v>
      </c>
      <c r="C227" s="6" t="s">
        <v>776</v>
      </c>
      <c r="D227" s="6" t="s">
        <v>719</v>
      </c>
      <c r="E227" s="6" t="s">
        <v>777</v>
      </c>
      <c r="F227" s="6" t="str">
        <f>_xlfn.DISPIMG("ID_D760FCBE958E4978A8E72EF77578B6E8",1)</f>
        <v>=DISPIMG("ID_D760FCBE958E4978A8E72EF77578B6E8",1)</v>
      </c>
      <c r="G227" s="6" t="s">
        <v>44</v>
      </c>
      <c r="H227" s="17">
        <v>1</v>
      </c>
    </row>
    <row r="228" ht="57" customHeight="1" spans="1:8">
      <c r="A228" s="19" t="s">
        <v>778</v>
      </c>
      <c r="B228" s="6" t="s">
        <v>779</v>
      </c>
      <c r="C228" s="6">
        <v>3688</v>
      </c>
      <c r="D228" s="6" t="s">
        <v>728</v>
      </c>
      <c r="E228" s="6" t="s">
        <v>780</v>
      </c>
      <c r="F228" s="6" t="str">
        <f>_xlfn.DISPIMG("ID_4C24FD6C7B974D3792F6AADEDECDBC3C",1)</f>
        <v>=DISPIMG("ID_4C24FD6C7B974D3792F6AADEDECDBC3C",1)</v>
      </c>
      <c r="G228" s="6" t="s">
        <v>44</v>
      </c>
      <c r="H228" s="17">
        <v>2</v>
      </c>
    </row>
    <row r="229" ht="57" customHeight="1" spans="1:8">
      <c r="A229" s="6" t="s">
        <v>781</v>
      </c>
      <c r="B229" s="6" t="s">
        <v>19</v>
      </c>
      <c r="C229" s="6" t="s">
        <v>782</v>
      </c>
      <c r="D229" s="6" t="s">
        <v>783</v>
      </c>
      <c r="E229" s="6" t="s">
        <v>784</v>
      </c>
      <c r="F229" s="6" t="str">
        <f>_xlfn.DISPIMG("ID_2722F4665E2848C2B6499AFA317414AA",1)</f>
        <v>=DISPIMG("ID_2722F4665E2848C2B6499AFA317414AA",1)</v>
      </c>
      <c r="G229" s="6" t="s">
        <v>44</v>
      </c>
      <c r="H229" s="17">
        <v>1</v>
      </c>
    </row>
    <row r="230" ht="57" customHeight="1" spans="1:8">
      <c r="A230" s="6" t="s">
        <v>785</v>
      </c>
      <c r="B230" s="6" t="s">
        <v>786</v>
      </c>
      <c r="C230" s="6" t="s">
        <v>787</v>
      </c>
      <c r="D230" s="6" t="s">
        <v>788</v>
      </c>
      <c r="E230" s="6" t="s">
        <v>789</v>
      </c>
      <c r="F230" s="6" t="str">
        <f>_xlfn.DISPIMG("ID_1E2BC8792B674B52A13964D1F123D201",1)</f>
        <v>=DISPIMG("ID_1E2BC8792B674B52A13964D1F123D201",1)</v>
      </c>
      <c r="G230" s="6" t="s">
        <v>44</v>
      </c>
      <c r="H230" s="17">
        <v>1</v>
      </c>
    </row>
    <row r="231" ht="57" customHeight="1" spans="1:8">
      <c r="A231" s="6" t="s">
        <v>790</v>
      </c>
      <c r="B231" s="6" t="s">
        <v>791</v>
      </c>
      <c r="C231" s="6" t="s">
        <v>792</v>
      </c>
      <c r="D231" s="6" t="s">
        <v>793</v>
      </c>
      <c r="E231" s="6" t="s">
        <v>296</v>
      </c>
      <c r="F231" s="5" t="str">
        <f>_xlfn.DISPIMG("ID_AEC8CB9AC8494E28AE6E9F2B98FE70CE",1)</f>
        <v>=DISPIMG("ID_AEC8CB9AC8494E28AE6E9F2B98FE70CE",1)</v>
      </c>
      <c r="G231" s="17" t="s">
        <v>794</v>
      </c>
      <c r="H231" s="17">
        <v>4</v>
      </c>
    </row>
    <row r="232" ht="57" customHeight="1" spans="1:8">
      <c r="A232" s="6" t="s">
        <v>795</v>
      </c>
      <c r="B232" s="6" t="s">
        <v>796</v>
      </c>
      <c r="C232" s="6">
        <v>2288</v>
      </c>
      <c r="D232" s="6" t="s">
        <v>728</v>
      </c>
      <c r="E232" s="6" t="s">
        <v>797</v>
      </c>
      <c r="F232" s="5" t="str">
        <f>_xlfn.DISPIMG("ID_601392F28C294EFB8827F79579B98AC4",1)</f>
        <v>=DISPIMG("ID_601392F28C294EFB8827F79579B98AC4",1)</v>
      </c>
      <c r="G232" s="17" t="s">
        <v>798</v>
      </c>
      <c r="H232" s="17">
        <v>2</v>
      </c>
    </row>
    <row r="233" ht="57" customHeight="1" spans="1:8">
      <c r="A233" s="20" t="s">
        <v>799</v>
      </c>
      <c r="B233" s="6" t="s">
        <v>800</v>
      </c>
      <c r="C233" s="89" t="s">
        <v>801</v>
      </c>
      <c r="D233" s="6" t="s">
        <v>12</v>
      </c>
      <c r="E233" s="6" t="s">
        <v>802</v>
      </c>
      <c r="F233" s="5" t="str">
        <f>_xlfn.DISPIMG("ID_7CFB193D5DF644E994F8749918D55444",1)</f>
        <v>=DISPIMG("ID_7CFB193D5DF644E994F8749918D55444",1)</v>
      </c>
      <c r="G233" s="17" t="s">
        <v>803</v>
      </c>
      <c r="H233" s="17">
        <v>18</v>
      </c>
    </row>
    <row r="234" ht="57" customHeight="1" spans="1:8">
      <c r="A234" s="20" t="s">
        <v>804</v>
      </c>
      <c r="B234" s="6" t="s">
        <v>796</v>
      </c>
      <c r="C234" s="6" t="s">
        <v>805</v>
      </c>
      <c r="D234" s="6" t="s">
        <v>728</v>
      </c>
      <c r="E234" s="6" t="s">
        <v>806</v>
      </c>
      <c r="F234" s="5" t="str">
        <f>_xlfn.DISPIMG("ID_7B6CBEB216944764A80EFAF56B0DB668",1)</f>
        <v>=DISPIMG("ID_7B6CBEB216944764A80EFAF56B0DB668",1)</v>
      </c>
      <c r="G234" s="17" t="s">
        <v>44</v>
      </c>
      <c r="H234" s="17">
        <v>2</v>
      </c>
    </row>
    <row r="235" ht="57" customHeight="1" spans="1:8">
      <c r="A235" s="20" t="s">
        <v>807</v>
      </c>
      <c r="B235" s="6" t="s">
        <v>808</v>
      </c>
      <c r="C235" s="6" t="s">
        <v>809</v>
      </c>
      <c r="D235" s="6" t="s">
        <v>810</v>
      </c>
      <c r="E235" s="6" t="s">
        <v>811</v>
      </c>
      <c r="F235" s="5" t="str">
        <f>_xlfn.DISPIMG("ID_F56BABE932334F25957893B929552D98",1)</f>
        <v>=DISPIMG("ID_F56BABE932334F25957893B929552D98",1)</v>
      </c>
      <c r="G235" s="17" t="s">
        <v>44</v>
      </c>
      <c r="H235" s="17">
        <v>4</v>
      </c>
    </row>
    <row r="236" ht="57" customHeight="1" spans="1:8">
      <c r="A236" s="20" t="s">
        <v>812</v>
      </c>
      <c r="B236" s="6" t="s">
        <v>813</v>
      </c>
      <c r="C236" s="6" t="s">
        <v>814</v>
      </c>
      <c r="D236" s="6" t="s">
        <v>815</v>
      </c>
      <c r="E236" s="6" t="s">
        <v>816</v>
      </c>
      <c r="F236" s="5" t="str">
        <f>_xlfn.DISPIMG("ID_D6A7D3E8A998499AA3ABD8FE995193DE",1)</f>
        <v>=DISPIMG("ID_D6A7D3E8A998499AA3ABD8FE995193DE",1)</v>
      </c>
      <c r="G236" s="17" t="s">
        <v>44</v>
      </c>
      <c r="H236" s="17">
        <v>2</v>
      </c>
    </row>
    <row r="237" ht="57" customHeight="1" spans="1:8">
      <c r="A237" s="20" t="s">
        <v>817</v>
      </c>
      <c r="B237" s="6" t="s">
        <v>818</v>
      </c>
      <c r="C237" s="6" t="s">
        <v>819</v>
      </c>
      <c r="D237" s="6" t="s">
        <v>719</v>
      </c>
      <c r="E237" s="6" t="s">
        <v>820</v>
      </c>
      <c r="F237" s="5" t="str">
        <f>_xlfn.DISPIMG("ID_217E8B3C64614764A3EC7CA2B75BB8AA",1)</f>
        <v>=DISPIMG("ID_217E8B3C64614764A3EC7CA2B75BB8AA",1)</v>
      </c>
      <c r="G237" s="17" t="s">
        <v>44</v>
      </c>
      <c r="H237" s="17">
        <v>1</v>
      </c>
    </row>
    <row r="238" ht="57" customHeight="1" spans="1:8">
      <c r="A238" s="20" t="s">
        <v>821</v>
      </c>
      <c r="B238" s="6" t="s">
        <v>19</v>
      </c>
      <c r="C238" s="6" t="s">
        <v>822</v>
      </c>
      <c r="D238" s="6" t="s">
        <v>823</v>
      </c>
      <c r="E238" s="6" t="s">
        <v>824</v>
      </c>
      <c r="F238" s="5" t="str">
        <f>_xlfn.DISPIMG("ID_4E6BF37DE1AC4A198043391B95C59DE8",1)</f>
        <v>=DISPIMG("ID_4E6BF37DE1AC4A198043391B95C59DE8",1)</v>
      </c>
      <c r="G238" s="17" t="s">
        <v>44</v>
      </c>
      <c r="H238" s="17">
        <v>1</v>
      </c>
    </row>
    <row r="239" ht="57" customHeight="1" spans="1:8">
      <c r="A239" s="20" t="s">
        <v>825</v>
      </c>
      <c r="B239" s="6" t="s">
        <v>826</v>
      </c>
      <c r="C239" s="6" t="s">
        <v>827</v>
      </c>
      <c r="D239" s="6" t="s">
        <v>12</v>
      </c>
      <c r="E239" s="6" t="s">
        <v>828</v>
      </c>
      <c r="F239" s="5" t="str">
        <f>_xlfn.DISPIMG("ID_F97D3779795A43329E04132346977E6D",1)</f>
        <v>=DISPIMG("ID_F97D3779795A43329E04132346977E6D",1)</v>
      </c>
      <c r="G239" s="17" t="s">
        <v>829</v>
      </c>
      <c r="H239" s="17">
        <v>1</v>
      </c>
    </row>
    <row r="240" ht="57" customHeight="1" spans="1:8">
      <c r="A240" s="20" t="s">
        <v>830</v>
      </c>
      <c r="B240" s="6" t="s">
        <v>831</v>
      </c>
      <c r="C240" s="6">
        <v>20408</v>
      </c>
      <c r="D240" s="6" t="s">
        <v>12</v>
      </c>
      <c r="E240" s="6" t="s">
        <v>832</v>
      </c>
      <c r="F240" s="5" t="str">
        <f>_xlfn.DISPIMG("ID_5192AC9CF5FB4708B034A0A2001EFBB9",1)</f>
        <v>=DISPIMG("ID_5192AC9CF5FB4708B034A0A2001EFBB9",1)</v>
      </c>
      <c r="G240" s="17" t="s">
        <v>44</v>
      </c>
      <c r="H240" s="17">
        <v>3</v>
      </c>
    </row>
    <row r="241" ht="57" customHeight="1" spans="1:8">
      <c r="A241" s="20" t="s">
        <v>833</v>
      </c>
      <c r="B241" s="6" t="s">
        <v>834</v>
      </c>
      <c r="C241" s="6" t="s">
        <v>835</v>
      </c>
      <c r="D241" s="6" t="s">
        <v>12</v>
      </c>
      <c r="E241" s="6" t="s">
        <v>836</v>
      </c>
      <c r="F241" s="5" t="str">
        <f>_xlfn.DISPIMG("ID_ACB47583F1A74099A2BAA1935CC503C6",1)</f>
        <v>=DISPIMG("ID_ACB47583F1A74099A2BAA1935CC503C6",1)</v>
      </c>
      <c r="G241" s="17" t="s">
        <v>44</v>
      </c>
      <c r="H241" s="17">
        <v>2</v>
      </c>
    </row>
    <row r="242" ht="57" customHeight="1" spans="1:8">
      <c r="A242" s="20" t="s">
        <v>837</v>
      </c>
      <c r="B242" s="6" t="s">
        <v>838</v>
      </c>
      <c r="C242" s="6" t="s">
        <v>839</v>
      </c>
      <c r="D242" s="6" t="s">
        <v>12</v>
      </c>
      <c r="E242" s="6" t="s">
        <v>840</v>
      </c>
      <c r="F242" s="5" t="str">
        <f>_xlfn.DISPIMG("ID_4A42D4CA275B421BBEE170BE2EB9BA13",1)</f>
        <v>=DISPIMG("ID_4A42D4CA275B421BBEE170BE2EB9BA13",1)</v>
      </c>
      <c r="G242" s="17" t="s">
        <v>685</v>
      </c>
      <c r="H242" s="17">
        <v>8</v>
      </c>
    </row>
    <row r="243" ht="57" customHeight="1" spans="1:8">
      <c r="A243" s="20" t="s">
        <v>841</v>
      </c>
      <c r="B243" s="6" t="s">
        <v>838</v>
      </c>
      <c r="C243" s="6" t="s">
        <v>839</v>
      </c>
      <c r="D243" s="6" t="s">
        <v>12</v>
      </c>
      <c r="E243" s="6" t="s">
        <v>842</v>
      </c>
      <c r="F243" s="5" t="str">
        <f>_xlfn.DISPIMG("ID_B5A33F453CFD4093B8FC619DDFC623FA",1)</f>
        <v>=DISPIMG("ID_B5A33F453CFD4093B8FC619DDFC623FA",1)</v>
      </c>
      <c r="G243" s="17" t="s">
        <v>44</v>
      </c>
      <c r="H243" s="17">
        <v>4</v>
      </c>
    </row>
    <row r="244" ht="57" customHeight="1" spans="1:8">
      <c r="A244" s="20" t="s">
        <v>843</v>
      </c>
      <c r="B244" s="6" t="s">
        <v>826</v>
      </c>
      <c r="C244" s="89" t="s">
        <v>844</v>
      </c>
      <c r="D244" s="6" t="s">
        <v>12</v>
      </c>
      <c r="E244" s="6" t="s">
        <v>845</v>
      </c>
      <c r="F244" s="5" t="str">
        <f>_xlfn.DISPIMG("ID_037088ECE7AB4219ADD81B96153F9432",1)</f>
        <v>=DISPIMG("ID_037088ECE7AB4219ADD81B96153F9432",1)</v>
      </c>
      <c r="G244" s="17" t="s">
        <v>846</v>
      </c>
      <c r="H244" s="17">
        <v>1</v>
      </c>
    </row>
    <row r="245" ht="57" customHeight="1" spans="1:8">
      <c r="A245" s="11" t="s">
        <v>847</v>
      </c>
      <c r="B245" s="38" t="s">
        <v>848</v>
      </c>
      <c r="C245" s="38" t="s">
        <v>849</v>
      </c>
      <c r="D245" s="11" t="s">
        <v>12</v>
      </c>
      <c r="E245" s="11" t="s">
        <v>850</v>
      </c>
      <c r="F245" s="38" t="str">
        <f>_xlfn.DISPIMG("ID_4CB53BA46660443F92A25DC600F5E3C2",1)</f>
        <v>=DISPIMG("ID_4CB53BA46660443F92A25DC600F5E3C2",1)</v>
      </c>
      <c r="G245" s="11" t="s">
        <v>14</v>
      </c>
      <c r="H245" s="38">
        <v>10</v>
      </c>
    </row>
    <row r="246" ht="57" customHeight="1" spans="1:8">
      <c r="A246" s="11" t="s">
        <v>851</v>
      </c>
      <c r="B246" s="38" t="s">
        <v>852</v>
      </c>
      <c r="C246" s="38" t="s">
        <v>853</v>
      </c>
      <c r="D246" s="11" t="s">
        <v>12</v>
      </c>
      <c r="E246" s="11" t="s">
        <v>854</v>
      </c>
      <c r="F246" s="38" t="str">
        <f>_xlfn.DISPIMG("ID_16F5CAC1F9154FC3A9F0698C734EA31B",1)</f>
        <v>=DISPIMG("ID_16F5CAC1F9154FC3A9F0698C734EA31B",1)</v>
      </c>
      <c r="G246" s="11" t="s">
        <v>44</v>
      </c>
      <c r="H246" s="38">
        <v>2</v>
      </c>
    </row>
    <row r="247" ht="57" customHeight="1" spans="1:8">
      <c r="A247" s="11" t="s">
        <v>855</v>
      </c>
      <c r="B247" s="38" t="s">
        <v>856</v>
      </c>
      <c r="C247" s="11" t="s">
        <v>857</v>
      </c>
      <c r="D247" s="11" t="s">
        <v>858</v>
      </c>
      <c r="E247" s="11" t="s">
        <v>859</v>
      </c>
      <c r="F247" s="11" t="str">
        <f>_xlfn.DISPIMG("ID_70106031E88D49D2A9B1698CA793B8FB",1)</f>
        <v>=DISPIMG("ID_70106031E88D49D2A9B1698CA793B8FB",1)</v>
      </c>
      <c r="G247" s="11" t="s">
        <v>44</v>
      </c>
      <c r="H247" s="11">
        <v>1</v>
      </c>
    </row>
    <row r="248" ht="57" customHeight="1" spans="1:8">
      <c r="A248" s="11" t="s">
        <v>860</v>
      </c>
      <c r="B248" s="11" t="s">
        <v>861</v>
      </c>
      <c r="C248" s="11" t="s">
        <v>862</v>
      </c>
      <c r="D248" s="11" t="s">
        <v>12</v>
      </c>
      <c r="E248" s="11" t="s">
        <v>863</v>
      </c>
      <c r="F248" s="11" t="str">
        <f>_xlfn.DISPIMG("ID_E19F598BF9E8419DA3C0F640C254F99C",1)</f>
        <v>=DISPIMG("ID_E19F598BF9E8419DA3C0F640C254F99C",1)</v>
      </c>
      <c r="G248" s="11" t="s">
        <v>864</v>
      </c>
      <c r="H248" s="38">
        <v>107</v>
      </c>
    </row>
    <row r="249" ht="57" customHeight="1" spans="1:8">
      <c r="A249" s="11" t="s">
        <v>865</v>
      </c>
      <c r="B249" s="11" t="s">
        <v>866</v>
      </c>
      <c r="C249" s="11" t="s">
        <v>867</v>
      </c>
      <c r="D249" s="11" t="s">
        <v>868</v>
      </c>
      <c r="E249" s="11" t="s">
        <v>869</v>
      </c>
      <c r="F249" s="11" t="str">
        <f>_xlfn.DISPIMG("ID_B3C8931BAF0545A3B0EC271D1382F886",1)</f>
        <v>=DISPIMG("ID_B3C8931BAF0545A3B0EC271D1382F886",1)</v>
      </c>
      <c r="G249" s="38" t="s">
        <v>14</v>
      </c>
      <c r="H249" s="38">
        <v>6</v>
      </c>
    </row>
    <row r="250" ht="70" customHeight="1" spans="1:8">
      <c r="A250" s="11" t="s">
        <v>870</v>
      </c>
      <c r="B250" s="11" t="s">
        <v>871</v>
      </c>
      <c r="C250" s="90" t="s">
        <v>872</v>
      </c>
      <c r="D250" s="11" t="s">
        <v>873</v>
      </c>
      <c r="E250" s="11" t="s">
        <v>874</v>
      </c>
      <c r="F250" s="11" t="str">
        <f>_xlfn.DISPIMG("ID_14202007E27D4E07859BDFAF2A1B569D",1)</f>
        <v>=DISPIMG("ID_14202007E27D4E07859BDFAF2A1B569D",1)</v>
      </c>
      <c r="G250" s="38" t="s">
        <v>44</v>
      </c>
      <c r="H250" s="38">
        <v>8</v>
      </c>
    </row>
    <row r="251" ht="57" customHeight="1" spans="1:8">
      <c r="A251" s="11" t="s">
        <v>875</v>
      </c>
      <c r="B251" s="11" t="s">
        <v>876</v>
      </c>
      <c r="C251" s="11" t="s">
        <v>877</v>
      </c>
      <c r="D251" s="11" t="s">
        <v>68</v>
      </c>
      <c r="E251" s="11" t="s">
        <v>878</v>
      </c>
      <c r="F251" s="39" t="str">
        <f>_xlfn.DISPIMG("ID_F1DC7E92938B42EAA1AE5F582B6EB338",1)</f>
        <v>=DISPIMG("ID_F1DC7E92938B42EAA1AE5F582B6EB338",1)</v>
      </c>
      <c r="G251" s="38" t="s">
        <v>44</v>
      </c>
      <c r="H251" s="38">
        <v>3</v>
      </c>
    </row>
    <row r="252" ht="57" customHeight="1" spans="1:8">
      <c r="A252" s="11" t="s">
        <v>879</v>
      </c>
      <c r="B252" s="11" t="s">
        <v>880</v>
      </c>
      <c r="C252" s="11" t="s">
        <v>881</v>
      </c>
      <c r="D252" s="11" t="s">
        <v>882</v>
      </c>
      <c r="E252" s="11" t="s">
        <v>883</v>
      </c>
      <c r="F252" s="11" t="str">
        <f>_xlfn.DISPIMG("ID_AB1E0341329240CF8942C47071C94818",1)</f>
        <v>=DISPIMG("ID_AB1E0341329240CF8942C47071C94818",1)</v>
      </c>
      <c r="G252" s="38" t="s">
        <v>44</v>
      </c>
      <c r="H252" s="38">
        <v>3</v>
      </c>
    </row>
    <row r="253" ht="57" customHeight="1" spans="1:8">
      <c r="A253" s="11" t="s">
        <v>884</v>
      </c>
      <c r="B253" s="11" t="s">
        <v>885</v>
      </c>
      <c r="C253" s="11" t="s">
        <v>886</v>
      </c>
      <c r="D253" s="11" t="s">
        <v>887</v>
      </c>
      <c r="E253" s="11" t="s">
        <v>888</v>
      </c>
      <c r="F253" s="11" t="str">
        <f>_xlfn.DISPIMG("ID_44FE979742CC4E4FAF8FB3F224957211",1)</f>
        <v>=DISPIMG("ID_44FE979742CC4E4FAF8FB3F224957211",1)</v>
      </c>
      <c r="G253" s="38" t="s">
        <v>44</v>
      </c>
      <c r="H253" s="38">
        <v>4</v>
      </c>
    </row>
    <row r="254" ht="57" customHeight="1" spans="1:8">
      <c r="A254" s="11" t="s">
        <v>889</v>
      </c>
      <c r="B254" s="11" t="s">
        <v>19</v>
      </c>
      <c r="C254" s="11" t="s">
        <v>890</v>
      </c>
      <c r="D254" s="11" t="s">
        <v>891</v>
      </c>
      <c r="E254" s="11" t="s">
        <v>892</v>
      </c>
      <c r="F254" s="11" t="str">
        <f>_xlfn.DISPIMG("ID_81105946AFDA4D9F944936588FFFECB9",1)</f>
        <v>=DISPIMG("ID_81105946AFDA4D9F944936588FFFECB9",1)</v>
      </c>
      <c r="G254" s="38" t="s">
        <v>44</v>
      </c>
      <c r="H254" s="11">
        <v>3</v>
      </c>
    </row>
    <row r="255" ht="57" customHeight="1" spans="1:8">
      <c r="A255" s="11" t="s">
        <v>893</v>
      </c>
      <c r="B255" s="11" t="s">
        <v>19</v>
      </c>
      <c r="C255" s="11" t="s">
        <v>894</v>
      </c>
      <c r="D255" s="11" t="s">
        <v>895</v>
      </c>
      <c r="E255" s="11" t="s">
        <v>896</v>
      </c>
      <c r="F255" s="11" t="str">
        <f>_xlfn.DISPIMG("ID_B6069179DF704D8BA834BECE7E25F548",1)</f>
        <v>=DISPIMG("ID_B6069179DF704D8BA834BECE7E25F548",1)</v>
      </c>
      <c r="G255" s="38" t="s">
        <v>44</v>
      </c>
      <c r="H255" s="11">
        <v>6</v>
      </c>
    </row>
    <row r="256" ht="57" customHeight="1" spans="1:8">
      <c r="A256" s="11" t="s">
        <v>897</v>
      </c>
      <c r="B256" s="11" t="s">
        <v>19</v>
      </c>
      <c r="C256" s="11" t="s">
        <v>822</v>
      </c>
      <c r="D256" s="11" t="s">
        <v>898</v>
      </c>
      <c r="E256" s="11" t="s">
        <v>899</v>
      </c>
      <c r="F256" s="11" t="str">
        <f>_xlfn.DISPIMG("ID_74B26421C0554236967E7B2490F7786F",1)</f>
        <v>=DISPIMG("ID_74B26421C0554236967E7B2490F7786F",1)</v>
      </c>
      <c r="G256" s="38" t="s">
        <v>44</v>
      </c>
      <c r="H256" s="11">
        <v>1</v>
      </c>
    </row>
    <row r="257" ht="57" customHeight="1" spans="1:8">
      <c r="A257" s="11" t="s">
        <v>900</v>
      </c>
      <c r="B257" s="11" t="s">
        <v>19</v>
      </c>
      <c r="C257" s="11" t="s">
        <v>901</v>
      </c>
      <c r="D257" s="11" t="s">
        <v>12</v>
      </c>
      <c r="E257" s="11" t="s">
        <v>902</v>
      </c>
      <c r="F257" s="11" t="str">
        <f>_xlfn.DISPIMG("ID_9D36CB9BB8524081ABD61C74574E3B35",1)</f>
        <v>=DISPIMG("ID_9D36CB9BB8524081ABD61C74574E3B35",1)</v>
      </c>
      <c r="G257" s="11" t="s">
        <v>903</v>
      </c>
      <c r="H257" s="11">
        <v>2</v>
      </c>
    </row>
    <row r="258" ht="57" customHeight="1" spans="1:8">
      <c r="A258" s="11" t="s">
        <v>904</v>
      </c>
      <c r="B258" s="11" t="s">
        <v>19</v>
      </c>
      <c r="C258" s="11" t="s">
        <v>905</v>
      </c>
      <c r="D258" s="11" t="s">
        <v>906</v>
      </c>
      <c r="E258" s="11" t="s">
        <v>907</v>
      </c>
      <c r="F258" s="11" t="str">
        <f>_xlfn.DISPIMG("ID_037EC63F202543D6B55A6A0186338D99",1)</f>
        <v>=DISPIMG("ID_037EC63F202543D6B55A6A0186338D99",1)</v>
      </c>
      <c r="G258" s="38" t="s">
        <v>14</v>
      </c>
      <c r="H258" s="11">
        <v>3</v>
      </c>
    </row>
    <row r="259" ht="57" customHeight="1" spans="1:8">
      <c r="A259" s="20" t="s">
        <v>908</v>
      </c>
      <c r="B259" s="6" t="s">
        <v>909</v>
      </c>
      <c r="C259" s="6" t="s">
        <v>910</v>
      </c>
      <c r="D259" s="6" t="s">
        <v>911</v>
      </c>
      <c r="E259" s="6" t="s">
        <v>912</v>
      </c>
      <c r="F259" s="6" t="str">
        <f>_xlfn.DISPIMG("ID_6995D657AA94487289D2C53D76519F89",1)</f>
        <v>=DISPIMG("ID_6995D657AA94487289D2C53D76519F89",1)</v>
      </c>
      <c r="G259" s="6" t="s">
        <v>408</v>
      </c>
      <c r="H259" s="6">
        <v>3</v>
      </c>
    </row>
    <row r="260" ht="57" customHeight="1" spans="1:8">
      <c r="A260" s="20" t="s">
        <v>913</v>
      </c>
      <c r="B260" s="6" t="s">
        <v>914</v>
      </c>
      <c r="C260" s="6" t="s">
        <v>915</v>
      </c>
      <c r="D260" s="6" t="s">
        <v>507</v>
      </c>
      <c r="E260" s="6" t="s">
        <v>916</v>
      </c>
      <c r="F260" s="6" t="str">
        <f>_xlfn.DISPIMG("ID_A120DF0821E544F08666F77F4391F1FE",1)</f>
        <v>=DISPIMG("ID_A120DF0821E544F08666F77F4391F1FE",1)</v>
      </c>
      <c r="G260" s="6" t="s">
        <v>408</v>
      </c>
      <c r="H260" s="6">
        <v>1</v>
      </c>
    </row>
    <row r="261" ht="57" customHeight="1" spans="1:8">
      <c r="A261" s="20" t="s">
        <v>917</v>
      </c>
      <c r="B261" s="6" t="s">
        <v>914</v>
      </c>
      <c r="C261" s="6" t="s">
        <v>918</v>
      </c>
      <c r="D261" s="6" t="s">
        <v>507</v>
      </c>
      <c r="E261" s="6" t="s">
        <v>919</v>
      </c>
      <c r="F261" s="6" t="str">
        <f>_xlfn.DISPIMG("ID_C47AEFB003BE4163BBFED24FF33F5E1D",1)</f>
        <v>=DISPIMG("ID_C47AEFB003BE4163BBFED24FF33F5E1D",1)</v>
      </c>
      <c r="G261" s="6" t="s">
        <v>408</v>
      </c>
      <c r="H261" s="17">
        <v>1</v>
      </c>
    </row>
    <row r="262" ht="57" customHeight="1" spans="1:8">
      <c r="A262" s="20" t="s">
        <v>920</v>
      </c>
      <c r="B262" s="6" t="s">
        <v>921</v>
      </c>
      <c r="C262" s="40" t="s">
        <v>922</v>
      </c>
      <c r="D262" s="6" t="s">
        <v>923</v>
      </c>
      <c r="E262" s="6" t="s">
        <v>924</v>
      </c>
      <c r="F262" s="6" t="str">
        <f>_xlfn.DISPIMG("ID_34F2654100B848BA892505D885B8DB0C",1)</f>
        <v>=DISPIMG("ID_34F2654100B848BA892505D885B8DB0C",1)</v>
      </c>
      <c r="G262" s="6" t="s">
        <v>408</v>
      </c>
      <c r="H262" s="17">
        <v>26</v>
      </c>
    </row>
    <row r="263" ht="57" customHeight="1" spans="1:8">
      <c r="A263" s="20" t="s">
        <v>925</v>
      </c>
      <c r="B263" s="6" t="s">
        <v>921</v>
      </c>
      <c r="C263" s="40" t="s">
        <v>922</v>
      </c>
      <c r="D263" s="6" t="s">
        <v>923</v>
      </c>
      <c r="E263" s="6" t="s">
        <v>926</v>
      </c>
      <c r="F263" s="41" t="str">
        <f>_xlfn.DISPIMG("ID_8081E413A6E146498FFCB2D6618C1A2B",1)</f>
        <v>=DISPIMG("ID_8081E413A6E146498FFCB2D6618C1A2B",1)</v>
      </c>
      <c r="G263" s="6" t="s">
        <v>408</v>
      </c>
      <c r="H263" s="17">
        <v>2</v>
      </c>
    </row>
    <row r="264" ht="57" customHeight="1" spans="1:8">
      <c r="A264" s="5" t="s">
        <v>927</v>
      </c>
      <c r="B264" s="5" t="s">
        <v>928</v>
      </c>
      <c r="C264" s="5" t="s">
        <v>929</v>
      </c>
      <c r="D264" s="5" t="s">
        <v>930</v>
      </c>
      <c r="E264" s="5" t="s">
        <v>931</v>
      </c>
      <c r="F264" s="5" t="str">
        <f>_xlfn.DISPIMG("ID_2893D92D709148F3B70C8F9CC47899AB",1)</f>
        <v>=DISPIMG("ID_2893D92D709148F3B70C8F9CC47899AB",1)</v>
      </c>
      <c r="G264" s="5" t="s">
        <v>14</v>
      </c>
      <c r="H264" s="5">
        <v>20</v>
      </c>
    </row>
    <row r="265" ht="57" customHeight="1" spans="1:8">
      <c r="A265" s="6" t="s">
        <v>932</v>
      </c>
      <c r="B265" s="6" t="s">
        <v>933</v>
      </c>
      <c r="C265" s="6" t="s">
        <v>934</v>
      </c>
      <c r="D265" s="6" t="s">
        <v>935</v>
      </c>
      <c r="E265" s="6" t="s">
        <v>936</v>
      </c>
      <c r="F265" s="40" t="str">
        <f>_xlfn.DISPIMG("ID_A32C13B4935D49EB8673105E7033C45D",1)</f>
        <v>=DISPIMG("ID_A32C13B4935D49EB8673105E7033C45D",1)</v>
      </c>
      <c r="G265" s="17" t="s">
        <v>44</v>
      </c>
      <c r="H265" s="17">
        <v>5</v>
      </c>
    </row>
    <row r="266" ht="57" customHeight="1" spans="1:8">
      <c r="A266" s="6" t="s">
        <v>937</v>
      </c>
      <c r="B266" s="6" t="s">
        <v>938</v>
      </c>
      <c r="C266" s="17" t="s">
        <v>939</v>
      </c>
      <c r="D266" s="17" t="s">
        <v>68</v>
      </c>
      <c r="E266" s="17" t="s">
        <v>940</v>
      </c>
      <c r="F266" s="40" t="str">
        <f>_xlfn.DISPIMG("ID_96ECF05AD08741FB94C6C3348ACB44FA",1)</f>
        <v>=DISPIMG("ID_96ECF05AD08741FB94C6C3348ACB44FA",1)</v>
      </c>
      <c r="G266" s="17" t="s">
        <v>44</v>
      </c>
      <c r="H266" s="17">
        <v>4</v>
      </c>
    </row>
    <row r="267" ht="57" customHeight="1" spans="1:8">
      <c r="A267" s="6" t="s">
        <v>941</v>
      </c>
      <c r="B267" s="6" t="s">
        <v>942</v>
      </c>
      <c r="C267" s="17" t="s">
        <v>943</v>
      </c>
      <c r="D267" s="17" t="s">
        <v>944</v>
      </c>
      <c r="E267" s="17" t="s">
        <v>945</v>
      </c>
      <c r="F267" s="40" t="str">
        <f>_xlfn.DISPIMG("ID_EFB02AD316304A31B0E706C517DC7E0D",1)</f>
        <v>=DISPIMG("ID_EFB02AD316304A31B0E706C517DC7E0D",1)</v>
      </c>
      <c r="G267" s="17" t="s">
        <v>685</v>
      </c>
      <c r="H267" s="17">
        <v>6</v>
      </c>
    </row>
    <row r="268" ht="57" customHeight="1" spans="1:8">
      <c r="A268" s="6" t="s">
        <v>946</v>
      </c>
      <c r="B268" s="6" t="s">
        <v>947</v>
      </c>
      <c r="C268" s="6" t="s">
        <v>948</v>
      </c>
      <c r="D268" s="6" t="s">
        <v>935</v>
      </c>
      <c r="E268" s="6" t="s">
        <v>949</v>
      </c>
      <c r="F268" s="40" t="str">
        <f>_xlfn.DISPIMG("ID_45FA992143B94AC2A3873416DCA770D5",1)</f>
        <v>=DISPIMG("ID_45FA992143B94AC2A3873416DCA770D5",1)</v>
      </c>
      <c r="G268" s="17" t="s">
        <v>14</v>
      </c>
      <c r="H268" s="17">
        <v>12</v>
      </c>
    </row>
    <row r="269" ht="57" customHeight="1" spans="1:8">
      <c r="A269" s="6" t="s">
        <v>950</v>
      </c>
      <c r="B269" s="6" t="s">
        <v>951</v>
      </c>
      <c r="C269" s="6">
        <v>1122</v>
      </c>
      <c r="D269" s="6" t="s">
        <v>12</v>
      </c>
      <c r="E269" s="6" t="s">
        <v>952</v>
      </c>
      <c r="F269" s="40" t="str">
        <f>_xlfn.DISPIMG("ID_BC9B5F8950A74A9E840BD5B1E686BBB6",1)</f>
        <v>=DISPIMG("ID_BC9B5F8950A74A9E840BD5B1E686BBB6",1)</v>
      </c>
      <c r="G269" s="17" t="s">
        <v>14</v>
      </c>
      <c r="H269" s="17">
        <v>8</v>
      </c>
    </row>
    <row r="270" ht="57" customHeight="1" spans="1:8">
      <c r="A270" s="42" t="s">
        <v>953</v>
      </c>
      <c r="B270" s="6" t="s">
        <v>954</v>
      </c>
      <c r="C270" s="6">
        <v>9656</v>
      </c>
      <c r="D270" s="6" t="s">
        <v>345</v>
      </c>
      <c r="E270" s="17" t="s">
        <v>955</v>
      </c>
      <c r="F270" s="40" t="str">
        <f>_xlfn.DISPIMG("ID_CB2F7A555D284524AF18B1C7ECE79B96",1)</f>
        <v>=DISPIMG("ID_CB2F7A555D284524AF18B1C7ECE79B96",1)</v>
      </c>
      <c r="G270" s="17" t="s">
        <v>44</v>
      </c>
      <c r="H270" s="17">
        <v>1</v>
      </c>
    </row>
    <row r="271" ht="57" customHeight="1" spans="1:8">
      <c r="A271" s="6" t="s">
        <v>956</v>
      </c>
      <c r="B271" s="6" t="s">
        <v>957</v>
      </c>
      <c r="C271" s="6" t="s">
        <v>958</v>
      </c>
      <c r="D271" s="6" t="s">
        <v>12</v>
      </c>
      <c r="E271" s="6" t="s">
        <v>959</v>
      </c>
      <c r="F271" s="40" t="str">
        <f>_xlfn.DISPIMG("ID_701632D68F394F5DB395DC02472ED230",1)</f>
        <v>=DISPIMG("ID_701632D68F394F5DB395DC02472ED230",1)</v>
      </c>
      <c r="G271" s="17" t="s">
        <v>44</v>
      </c>
      <c r="H271" s="17">
        <v>6</v>
      </c>
    </row>
    <row r="272" ht="57" customHeight="1" spans="1:8">
      <c r="A272" s="6" t="s">
        <v>960</v>
      </c>
      <c r="B272" s="43" t="s">
        <v>961</v>
      </c>
      <c r="C272" s="17" t="s">
        <v>962</v>
      </c>
      <c r="D272" s="17" t="s">
        <v>12</v>
      </c>
      <c r="E272" s="17" t="s">
        <v>963</v>
      </c>
      <c r="F272" s="40" t="str">
        <f>_xlfn.DISPIMG("ID_A201CD164C1048F0A5A77A992B98AA62",1)</f>
        <v>=DISPIMG("ID_A201CD164C1048F0A5A77A992B98AA62",1)</v>
      </c>
      <c r="G272" s="17" t="s">
        <v>685</v>
      </c>
      <c r="H272" s="17">
        <v>8</v>
      </c>
    </row>
    <row r="273" ht="57" customHeight="1" spans="1:8">
      <c r="A273" s="17" t="s">
        <v>964</v>
      </c>
      <c r="B273" s="6" t="s">
        <v>965</v>
      </c>
      <c r="C273" s="6">
        <v>69355</v>
      </c>
      <c r="D273" s="6" t="s">
        <v>12</v>
      </c>
      <c r="E273" s="6" t="s">
        <v>966</v>
      </c>
      <c r="F273" s="40" t="str">
        <f>_xlfn.DISPIMG("ID_040A09DB84F643F199CDD530E53B66DB",1)</f>
        <v>=DISPIMG("ID_040A09DB84F643F199CDD530E53B66DB",1)</v>
      </c>
      <c r="G273" s="17" t="s">
        <v>44</v>
      </c>
      <c r="H273" s="17">
        <v>6</v>
      </c>
    </row>
    <row r="274" ht="57" customHeight="1" spans="1:8">
      <c r="A274" s="6" t="s">
        <v>967</v>
      </c>
      <c r="B274" s="6" t="s">
        <v>319</v>
      </c>
      <c r="C274" s="44">
        <v>160033</v>
      </c>
      <c r="D274" s="44" t="s">
        <v>968</v>
      </c>
      <c r="E274" s="44" t="s">
        <v>969</v>
      </c>
      <c r="F274" s="40" t="str">
        <f>_xlfn.DISPIMG("ID_49C3677FEA0B4DAF82C2CA0F9D77725F",1)</f>
        <v>=DISPIMG("ID_49C3677FEA0B4DAF82C2CA0F9D77725F",1)</v>
      </c>
      <c r="G274" s="17" t="s">
        <v>44</v>
      </c>
      <c r="H274" s="17">
        <v>7</v>
      </c>
    </row>
    <row r="275" ht="57" customHeight="1" spans="1:8">
      <c r="A275" s="6" t="s">
        <v>970</v>
      </c>
      <c r="B275" s="17" t="s">
        <v>971</v>
      </c>
      <c r="C275" s="17">
        <v>15144502</v>
      </c>
      <c r="D275" s="17" t="s">
        <v>681</v>
      </c>
      <c r="E275" s="17" t="s">
        <v>972</v>
      </c>
      <c r="F275" s="40" t="str">
        <f>_xlfn.DISPIMG("ID_AC148E71791046AFB165BE9BB4065364",1)</f>
        <v>=DISPIMG("ID_AC148E71791046AFB165BE9BB4065364",1)</v>
      </c>
      <c r="G275" s="17" t="s">
        <v>44</v>
      </c>
      <c r="H275" s="17">
        <v>6</v>
      </c>
    </row>
    <row r="276" ht="57" customHeight="1" spans="1:8">
      <c r="A276" s="6" t="s">
        <v>973</v>
      </c>
      <c r="B276" s="6" t="s">
        <v>974</v>
      </c>
      <c r="C276" s="6">
        <v>594</v>
      </c>
      <c r="D276" s="6" t="s">
        <v>911</v>
      </c>
      <c r="E276" s="6" t="s">
        <v>975</v>
      </c>
      <c r="F276" s="6" t="str">
        <f>_xlfn.DISPIMG("ID_D3CC4014A2974AAB8C254A3E0F4BAD0B",1)</f>
        <v>=DISPIMG("ID_D3CC4014A2974AAB8C254A3E0F4BAD0B",1)</v>
      </c>
      <c r="G276" s="17" t="s">
        <v>44</v>
      </c>
      <c r="H276" s="17">
        <v>6</v>
      </c>
    </row>
    <row r="277" ht="57" customHeight="1" spans="1:8">
      <c r="A277" s="6" t="s">
        <v>976</v>
      </c>
      <c r="B277" s="17" t="s">
        <v>977</v>
      </c>
      <c r="C277" s="7" t="s">
        <v>978</v>
      </c>
      <c r="D277" s="7" t="s">
        <v>979</v>
      </c>
      <c r="E277" s="7" t="s">
        <v>980</v>
      </c>
      <c r="F277" s="40" t="str">
        <f>_xlfn.DISPIMG("ID_9AAD4588FA274B67AFC8406D9D44F9FB",1)</f>
        <v>=DISPIMG("ID_9AAD4588FA274B67AFC8406D9D44F9FB",1)</v>
      </c>
      <c r="G277" s="17" t="s">
        <v>44</v>
      </c>
      <c r="H277" s="17">
        <v>4</v>
      </c>
    </row>
    <row r="278" ht="57" customHeight="1" spans="1:8">
      <c r="A278" s="6" t="s">
        <v>981</v>
      </c>
      <c r="B278" s="17" t="s">
        <v>982</v>
      </c>
      <c r="C278" s="7">
        <v>7333</v>
      </c>
      <c r="D278" s="8" t="s">
        <v>983</v>
      </c>
      <c r="E278" s="8" t="s">
        <v>984</v>
      </c>
      <c r="F278" s="40" t="str">
        <f>_xlfn.DISPIMG("ID_F30CFD63461F4D6A82C189943C577C79",1)</f>
        <v>=DISPIMG("ID_F30CFD63461F4D6A82C189943C577C79",1)</v>
      </c>
      <c r="G278" s="17" t="s">
        <v>44</v>
      </c>
      <c r="H278" s="17">
        <v>6</v>
      </c>
    </row>
    <row r="279" ht="57" customHeight="1" spans="1:8">
      <c r="A279" s="6" t="s">
        <v>985</v>
      </c>
      <c r="B279" s="6" t="s">
        <v>986</v>
      </c>
      <c r="C279" s="44" t="s">
        <v>987</v>
      </c>
      <c r="D279" s="44" t="s">
        <v>988</v>
      </c>
      <c r="E279" s="6" t="s">
        <v>989</v>
      </c>
      <c r="F279" s="17" t="str">
        <f>_xlfn.DISPIMG("ID_9C454C15EDA8483FA2597B20470231F3",1)</f>
        <v>=DISPIMG("ID_9C454C15EDA8483FA2597B20470231F3",1)</v>
      </c>
      <c r="G279" s="6" t="s">
        <v>44</v>
      </c>
      <c r="H279" s="6">
        <v>6</v>
      </c>
    </row>
    <row r="280" ht="57" customHeight="1" spans="1:8">
      <c r="A280" s="6" t="s">
        <v>990</v>
      </c>
      <c r="B280" s="6" t="s">
        <v>991</v>
      </c>
      <c r="C280" s="44" t="s">
        <v>992</v>
      </c>
      <c r="D280" s="44" t="s">
        <v>12</v>
      </c>
      <c r="E280" s="44" t="s">
        <v>993</v>
      </c>
      <c r="F280" s="40" t="str">
        <f>_xlfn.DISPIMG("ID_0B64EFCAD9CC497BB4BA620EA386687B",1)</f>
        <v>=DISPIMG("ID_0B64EFCAD9CC497BB4BA620EA386687B",1)</v>
      </c>
      <c r="G280" s="17" t="s">
        <v>44</v>
      </c>
      <c r="H280" s="17">
        <v>12</v>
      </c>
    </row>
    <row r="281" ht="57" customHeight="1" spans="1:8">
      <c r="A281" s="6" t="s">
        <v>994</v>
      </c>
      <c r="B281" s="6" t="s">
        <v>991</v>
      </c>
      <c r="C281" s="44" t="s">
        <v>995</v>
      </c>
      <c r="D281" s="44" t="s">
        <v>996</v>
      </c>
      <c r="E281" s="44" t="s">
        <v>997</v>
      </c>
      <c r="F281" s="40" t="str">
        <f>_xlfn.DISPIMG("ID_6CD3E533898842948A4973C5248E9E56",1)</f>
        <v>=DISPIMG("ID_6CD3E533898842948A4973C5248E9E56",1)</v>
      </c>
      <c r="G281" s="17" t="s">
        <v>44</v>
      </c>
      <c r="H281" s="17">
        <v>3</v>
      </c>
    </row>
    <row r="282" ht="57" customHeight="1" spans="1:8">
      <c r="A282" s="17" t="s">
        <v>998</v>
      </c>
      <c r="B282" s="6" t="s">
        <v>687</v>
      </c>
      <c r="C282" s="44" t="s">
        <v>999</v>
      </c>
      <c r="D282" s="44" t="s">
        <v>887</v>
      </c>
      <c r="E282" s="44" t="s">
        <v>1000</v>
      </c>
      <c r="F282" s="40" t="str">
        <f>_xlfn.DISPIMG("ID_C4069CCF183C4E6180BBCEB2E3B44A67",1)</f>
        <v>=DISPIMG("ID_C4069CCF183C4E6180BBCEB2E3B44A67",1)</v>
      </c>
      <c r="G282" s="17" t="s">
        <v>44</v>
      </c>
      <c r="H282" s="17">
        <v>7</v>
      </c>
    </row>
    <row r="283" ht="57" customHeight="1" spans="1:8">
      <c r="A283" s="6" t="s">
        <v>1001</v>
      </c>
      <c r="B283" s="6" t="s">
        <v>1002</v>
      </c>
      <c r="C283" s="6" t="s">
        <v>1003</v>
      </c>
      <c r="D283" s="6" t="s">
        <v>911</v>
      </c>
      <c r="E283" s="6" t="s">
        <v>1004</v>
      </c>
      <c r="F283" s="40" t="str">
        <f>_xlfn.DISPIMG("ID_DFD31D6B4C784B6CBDD5CAD940A40145",1)</f>
        <v>=DISPIMG("ID_DFD31D6B4C784B6CBDD5CAD940A40145",1)</v>
      </c>
      <c r="G283" s="17" t="s">
        <v>44</v>
      </c>
      <c r="H283" s="17">
        <v>12</v>
      </c>
    </row>
    <row r="284" ht="57" customHeight="1" spans="1:8">
      <c r="A284" s="6" t="s">
        <v>1005</v>
      </c>
      <c r="B284" s="17" t="s">
        <v>1006</v>
      </c>
      <c r="C284" s="6" t="s">
        <v>1007</v>
      </c>
      <c r="D284" s="6" t="s">
        <v>911</v>
      </c>
      <c r="E284" s="6" t="s">
        <v>1008</v>
      </c>
      <c r="F284" s="40" t="str">
        <f>_xlfn.DISPIMG("ID_0DA2A22232154BF3AD240526BA3BDAA6",1)</f>
        <v>=DISPIMG("ID_0DA2A22232154BF3AD240526BA3BDAA6",1)</v>
      </c>
      <c r="G284" s="17" t="s">
        <v>44</v>
      </c>
      <c r="H284" s="17">
        <v>6</v>
      </c>
    </row>
    <row r="285" ht="57" customHeight="1" spans="1:8">
      <c r="A285" s="6" t="s">
        <v>987</v>
      </c>
      <c r="B285" s="6" t="s">
        <v>1009</v>
      </c>
      <c r="C285" s="6" t="s">
        <v>1010</v>
      </c>
      <c r="D285" s="6" t="s">
        <v>911</v>
      </c>
      <c r="E285" s="6" t="s">
        <v>1011</v>
      </c>
      <c r="F285" s="40" t="str">
        <f>_xlfn.DISPIMG("ID_E1121E067A6140DBA55AC76B626AB720",1)</f>
        <v>=DISPIMG("ID_E1121E067A6140DBA55AC76B626AB720",1)</v>
      </c>
      <c r="G285" s="17" t="s">
        <v>44</v>
      </c>
      <c r="H285" s="17">
        <v>5</v>
      </c>
    </row>
    <row r="286" ht="57" customHeight="1" spans="1:8">
      <c r="A286" s="17" t="s">
        <v>1012</v>
      </c>
      <c r="B286" s="17" t="s">
        <v>1013</v>
      </c>
      <c r="C286" s="6" t="s">
        <v>1014</v>
      </c>
      <c r="D286" s="6" t="s">
        <v>1015</v>
      </c>
      <c r="E286" s="6" t="s">
        <v>1016</v>
      </c>
      <c r="F286" s="40" t="str">
        <f>_xlfn.DISPIMG("ID_C32E6FB88A21468CADCCE6A5259EA927",1)</f>
        <v>=DISPIMG("ID_C32E6FB88A21468CADCCE6A5259EA927",1)</v>
      </c>
      <c r="G286" s="17" t="s">
        <v>44</v>
      </c>
      <c r="H286" s="17">
        <v>5</v>
      </c>
    </row>
    <row r="287" ht="57" customHeight="1" spans="1:8">
      <c r="A287" s="6" t="s">
        <v>1017</v>
      </c>
      <c r="B287" s="17" t="s">
        <v>1018</v>
      </c>
      <c r="C287" s="6">
        <v>220723001</v>
      </c>
      <c r="D287" s="6" t="s">
        <v>1019</v>
      </c>
      <c r="E287" s="6" t="s">
        <v>1020</v>
      </c>
      <c r="F287" s="40" t="str">
        <f>_xlfn.DISPIMG("ID_C40B4A2C5A914828922BF4F8043FD163",1)</f>
        <v>=DISPIMG("ID_C40B4A2C5A914828922BF4F8043FD163",1)</v>
      </c>
      <c r="G287" s="17" t="s">
        <v>14</v>
      </c>
      <c r="H287" s="17">
        <v>8</v>
      </c>
    </row>
    <row r="288" ht="57" customHeight="1" spans="1:8">
      <c r="A288" s="6" t="s">
        <v>1021</v>
      </c>
      <c r="B288" s="17" t="s">
        <v>1022</v>
      </c>
      <c r="C288" s="6">
        <v>312</v>
      </c>
      <c r="D288" s="6" t="s">
        <v>12</v>
      </c>
      <c r="E288" s="6" t="s">
        <v>1023</v>
      </c>
      <c r="F288" s="40" t="str">
        <f>_xlfn.DISPIMG("ID_3084D57C880546DD83CA784A4F7EE4A9",1)</f>
        <v>=DISPIMG("ID_3084D57C880546DD83CA784A4F7EE4A9",1)</v>
      </c>
      <c r="G288" s="17" t="s">
        <v>14</v>
      </c>
      <c r="H288" s="17">
        <v>8</v>
      </c>
    </row>
    <row r="289" ht="57" customHeight="1" spans="1:8">
      <c r="A289" s="6" t="s">
        <v>1024</v>
      </c>
      <c r="B289" s="17" t="s">
        <v>246</v>
      </c>
      <c r="C289" s="17">
        <v>306568</v>
      </c>
      <c r="D289" s="17" t="s">
        <v>1025</v>
      </c>
      <c r="E289" s="17" t="s">
        <v>1026</v>
      </c>
      <c r="F289" s="40" t="str">
        <f>_xlfn.DISPIMG("ID_542199881D2F4737B6A7662A5815065A",1)</f>
        <v>=DISPIMG("ID_542199881D2F4737B6A7662A5815065A",1)</v>
      </c>
      <c r="G289" s="17" t="s">
        <v>685</v>
      </c>
      <c r="H289" s="17">
        <v>12</v>
      </c>
    </row>
    <row r="290" ht="57" customHeight="1" spans="1:8">
      <c r="A290" s="17" t="s">
        <v>1027</v>
      </c>
      <c r="B290" s="17" t="s">
        <v>1028</v>
      </c>
      <c r="C290" s="17">
        <v>900000175</v>
      </c>
      <c r="D290" s="17" t="s">
        <v>1029</v>
      </c>
      <c r="E290" s="17" t="s">
        <v>1030</v>
      </c>
      <c r="F290" s="40" t="str">
        <f>_xlfn.DISPIMG("ID_0D94B174231F48679F0FF846268281F7",1)</f>
        <v>=DISPIMG("ID_0D94B174231F48679F0FF846268281F7",1)</v>
      </c>
      <c r="G290" s="17" t="s">
        <v>685</v>
      </c>
      <c r="H290" s="17">
        <v>4</v>
      </c>
    </row>
    <row r="291" ht="57" customHeight="1" spans="1:8">
      <c r="A291" s="6" t="s">
        <v>1031</v>
      </c>
      <c r="B291" s="6" t="s">
        <v>1032</v>
      </c>
      <c r="C291" s="44">
        <v>268597</v>
      </c>
      <c r="D291" s="6" t="s">
        <v>12</v>
      </c>
      <c r="E291" s="6" t="s">
        <v>1033</v>
      </c>
      <c r="F291" s="17" t="str">
        <f>_xlfn.DISPIMG("ID_F7F5CB40F81742598108BA461CA97317",1)</f>
        <v>=DISPIMG("ID_F7F5CB40F81742598108BA461CA97317",1)</v>
      </c>
      <c r="G291" s="6" t="s">
        <v>44</v>
      </c>
      <c r="H291" s="6">
        <v>1</v>
      </c>
    </row>
    <row r="292" ht="57" customHeight="1" spans="1:8">
      <c r="A292" s="5" t="s">
        <v>1034</v>
      </c>
      <c r="B292" s="6" t="s">
        <v>1035</v>
      </c>
      <c r="C292" s="6" t="s">
        <v>1036</v>
      </c>
      <c r="D292" s="6" t="s">
        <v>68</v>
      </c>
      <c r="E292" s="6" t="s">
        <v>1037</v>
      </c>
      <c r="F292" s="40" t="str">
        <f>_xlfn.DISPIMG("ID_420CD55DDC2B4FC88847EE819D8680C4",1)</f>
        <v>=DISPIMG("ID_420CD55DDC2B4FC88847EE819D8680C4",1)</v>
      </c>
      <c r="G292" s="17" t="s">
        <v>44</v>
      </c>
      <c r="H292" s="17">
        <v>12</v>
      </c>
    </row>
    <row r="293" ht="57" customHeight="1" spans="1:8">
      <c r="A293" s="6" t="s">
        <v>1038</v>
      </c>
      <c r="B293" s="6" t="s">
        <v>1039</v>
      </c>
      <c r="C293" s="6" t="s">
        <v>1040</v>
      </c>
      <c r="D293" s="6" t="s">
        <v>1041</v>
      </c>
      <c r="E293" s="6" t="s">
        <v>1042</v>
      </c>
      <c r="F293" s="40" t="str">
        <f>_xlfn.DISPIMG("ID_01EE444008A94AB9BA301AF35656BCF7",1)</f>
        <v>=DISPIMG("ID_01EE444008A94AB9BA301AF35656BCF7",1)</v>
      </c>
      <c r="G293" s="17" t="s">
        <v>44</v>
      </c>
      <c r="H293" s="17">
        <v>4</v>
      </c>
    </row>
    <row r="294" ht="57" customHeight="1" spans="1:8">
      <c r="A294" s="6" t="s">
        <v>1043</v>
      </c>
      <c r="B294" s="6" t="s">
        <v>410</v>
      </c>
      <c r="C294" s="6" t="s">
        <v>1044</v>
      </c>
      <c r="D294" s="6" t="s">
        <v>1045</v>
      </c>
      <c r="E294" s="6" t="s">
        <v>1046</v>
      </c>
      <c r="F294" s="40" t="str">
        <f>_xlfn.DISPIMG("ID_9064DFE81BD643DD95E508E82168D5CC",1)</f>
        <v>=DISPIMG("ID_9064DFE81BD643DD95E508E82168D5CC",1)</v>
      </c>
      <c r="G294" s="17" t="s">
        <v>44</v>
      </c>
      <c r="H294" s="17">
        <v>15</v>
      </c>
    </row>
    <row r="295" ht="57" customHeight="1" spans="1:8">
      <c r="A295" s="6" t="s">
        <v>1047</v>
      </c>
      <c r="B295" s="6" t="s">
        <v>1048</v>
      </c>
      <c r="C295" s="6" t="s">
        <v>1049</v>
      </c>
      <c r="D295" s="6" t="s">
        <v>1045</v>
      </c>
      <c r="E295" s="6" t="s">
        <v>1050</v>
      </c>
      <c r="F295" s="40" t="str">
        <f>_xlfn.DISPIMG("ID_B793C62F8AC2473582833639F9A6C9BE",1)</f>
        <v>=DISPIMG("ID_B793C62F8AC2473582833639F9A6C9BE",1)</v>
      </c>
      <c r="G295" s="17" t="s">
        <v>44</v>
      </c>
      <c r="H295" s="17">
        <v>14</v>
      </c>
    </row>
    <row r="296" ht="57" customHeight="1" spans="1:8">
      <c r="A296" s="6" t="s">
        <v>1051</v>
      </c>
      <c r="B296" s="6" t="s">
        <v>1052</v>
      </c>
      <c r="C296" s="6" t="s">
        <v>1053</v>
      </c>
      <c r="D296" s="6" t="s">
        <v>1045</v>
      </c>
      <c r="E296" s="6" t="s">
        <v>1046</v>
      </c>
      <c r="F296" s="40" t="str">
        <f>_xlfn.DISPIMG("ID_DC2F26D901B94EE6AD09CC369D4366A8",1)</f>
        <v>=DISPIMG("ID_DC2F26D901B94EE6AD09CC369D4366A8",1)</v>
      </c>
      <c r="G296" s="17" t="s">
        <v>44</v>
      </c>
      <c r="H296" s="17">
        <v>2</v>
      </c>
    </row>
    <row r="297" ht="57" customHeight="1" spans="1:8">
      <c r="A297" s="6" t="s">
        <v>1054</v>
      </c>
      <c r="B297" s="6" t="s">
        <v>1055</v>
      </c>
      <c r="C297" s="6" t="s">
        <v>1056</v>
      </c>
      <c r="D297" s="6" t="s">
        <v>68</v>
      </c>
      <c r="E297" s="6" t="s">
        <v>1046</v>
      </c>
      <c r="F297" s="40" t="str">
        <f>_xlfn.DISPIMG("ID_2EB4CC886913439BB4C97D49FAF144C1",1)</f>
        <v>=DISPIMG("ID_2EB4CC886913439BB4C97D49FAF144C1",1)</v>
      </c>
      <c r="G297" s="17" t="s">
        <v>44</v>
      </c>
      <c r="H297" s="17">
        <v>4</v>
      </c>
    </row>
    <row r="298" ht="57" customHeight="1" spans="1:8">
      <c r="A298" s="6" t="s">
        <v>1057</v>
      </c>
      <c r="B298" s="6" t="s">
        <v>1058</v>
      </c>
      <c r="C298" s="44" t="s">
        <v>1059</v>
      </c>
      <c r="D298" s="44" t="s">
        <v>68</v>
      </c>
      <c r="E298" s="44" t="s">
        <v>1060</v>
      </c>
      <c r="F298" s="6" t="str">
        <f>_xlfn.DISPIMG("ID_BDE298C43F2E4495BD7AEC7E1356F903",1)</f>
        <v>=DISPIMG("ID_BDE298C43F2E4495BD7AEC7E1356F903",1)</v>
      </c>
      <c r="G298" s="17" t="s">
        <v>44</v>
      </c>
      <c r="H298" s="17">
        <v>20</v>
      </c>
    </row>
    <row r="299" ht="57" customHeight="1" spans="1:8">
      <c r="A299" s="6" t="s">
        <v>1061</v>
      </c>
      <c r="B299" s="6" t="s">
        <v>1062</v>
      </c>
      <c r="C299" s="17" t="s">
        <v>1063</v>
      </c>
      <c r="D299" s="44" t="s">
        <v>68</v>
      </c>
      <c r="E299" s="17" t="s">
        <v>1064</v>
      </c>
      <c r="F299" s="40" t="str">
        <f>_xlfn.DISPIMG("ID_44376CE2AB17437183B4E3D0701A157A",1)</f>
        <v>=DISPIMG("ID_44376CE2AB17437183B4E3D0701A157A",1)</v>
      </c>
      <c r="G299" s="17" t="s">
        <v>14</v>
      </c>
      <c r="H299" s="17">
        <v>16</v>
      </c>
    </row>
    <row r="300" ht="57" customHeight="1" spans="1:8">
      <c r="A300" s="6" t="s">
        <v>1065</v>
      </c>
      <c r="B300" s="6" t="s">
        <v>1066</v>
      </c>
      <c r="C300" s="6" t="s">
        <v>1067</v>
      </c>
      <c r="D300" s="44" t="s">
        <v>68</v>
      </c>
      <c r="E300" s="6" t="s">
        <v>1068</v>
      </c>
      <c r="F300" s="6" t="str">
        <f>_xlfn.DISPIMG("ID_FC8E78D4F0B94E2DBC2ACE99A57C6716",1)</f>
        <v>=DISPIMG("ID_FC8E78D4F0B94E2DBC2ACE99A57C6716",1)</v>
      </c>
      <c r="G300" s="6" t="s">
        <v>44</v>
      </c>
      <c r="H300" s="17">
        <v>22</v>
      </c>
    </row>
    <row r="301" ht="57" customHeight="1" spans="1:8">
      <c r="A301" s="6" t="s">
        <v>1069</v>
      </c>
      <c r="B301" s="44" t="s">
        <v>1070</v>
      </c>
      <c r="C301" s="6" t="s">
        <v>1071</v>
      </c>
      <c r="D301" s="44" t="s">
        <v>68</v>
      </c>
      <c r="E301" s="6" t="s">
        <v>1072</v>
      </c>
      <c r="F301" s="6" t="str">
        <f>_xlfn.DISPIMG("ID_0EC7AC7ECC6F4F83B625504504CE0319",1)</f>
        <v>=DISPIMG("ID_0EC7AC7ECC6F4F83B625504504CE0319",1)</v>
      </c>
      <c r="G301" s="6" t="s">
        <v>44</v>
      </c>
      <c r="H301" s="17">
        <v>22</v>
      </c>
    </row>
    <row r="302" ht="57" customHeight="1" spans="1:8">
      <c r="A302" s="6" t="s">
        <v>1073</v>
      </c>
      <c r="B302" s="44" t="s">
        <v>1070</v>
      </c>
      <c r="C302" s="44" t="s">
        <v>1074</v>
      </c>
      <c r="D302" s="44" t="s">
        <v>68</v>
      </c>
      <c r="E302" s="44" t="s">
        <v>1075</v>
      </c>
      <c r="F302" s="40" t="str">
        <f>_xlfn.DISPIMG("ID_EA02906B18C648FB886EB0A5D8E92FC4",1)</f>
        <v>=DISPIMG("ID_EA02906B18C648FB886EB0A5D8E92FC4",1)</v>
      </c>
      <c r="G302" s="17" t="s">
        <v>1076</v>
      </c>
      <c r="H302" s="17">
        <v>54</v>
      </c>
    </row>
    <row r="303" ht="57" customHeight="1" spans="1:8">
      <c r="A303" s="6" t="s">
        <v>1077</v>
      </c>
      <c r="B303" s="44" t="s">
        <v>1070</v>
      </c>
      <c r="C303" s="44" t="s">
        <v>1078</v>
      </c>
      <c r="D303" s="44" t="s">
        <v>68</v>
      </c>
      <c r="E303" s="44" t="s">
        <v>1079</v>
      </c>
      <c r="F303" s="40" t="str">
        <f>_xlfn.DISPIMG("ID_4238F92ACA4B4276BFAB516C50B9B288",1)</f>
        <v>=DISPIMG("ID_4238F92ACA4B4276BFAB516C50B9B288",1)</v>
      </c>
      <c r="G303" s="17" t="s">
        <v>1076</v>
      </c>
      <c r="H303" s="17">
        <v>28</v>
      </c>
    </row>
    <row r="304" ht="57" customHeight="1" spans="1:8">
      <c r="A304" s="6" t="s">
        <v>1080</v>
      </c>
      <c r="B304" s="44" t="s">
        <v>1070</v>
      </c>
      <c r="C304" s="44" t="s">
        <v>1081</v>
      </c>
      <c r="D304" s="44" t="s">
        <v>1082</v>
      </c>
      <c r="E304" s="44" t="s">
        <v>1083</v>
      </c>
      <c r="F304" s="40" t="str">
        <f>_xlfn.DISPIMG("ID_1773C8DB6BF54DB38DDA4F7F8E339475",1)</f>
        <v>=DISPIMG("ID_1773C8DB6BF54DB38DDA4F7F8E339475",1)</v>
      </c>
      <c r="G304" s="17" t="s">
        <v>44</v>
      </c>
      <c r="H304" s="17">
        <v>9</v>
      </c>
    </row>
    <row r="305" ht="57" customHeight="1" spans="1:8">
      <c r="A305" s="17" t="s">
        <v>1084</v>
      </c>
      <c r="B305" s="17" t="s">
        <v>1085</v>
      </c>
      <c r="C305" s="44" t="s">
        <v>1086</v>
      </c>
      <c r="D305" s="6" t="s">
        <v>1087</v>
      </c>
      <c r="E305" s="6" t="s">
        <v>1088</v>
      </c>
      <c r="F305" s="40" t="str">
        <f>_xlfn.DISPIMG("ID_8E7E57ECBF854C9FB6CF352787AB5110",1)</f>
        <v>=DISPIMG("ID_8E7E57ECBF854C9FB6CF352787AB5110",1)</v>
      </c>
      <c r="G305" s="17" t="s">
        <v>14</v>
      </c>
      <c r="H305" s="17">
        <v>14</v>
      </c>
    </row>
    <row r="306" ht="57" customHeight="1" spans="1:8">
      <c r="A306" s="6" t="s">
        <v>1089</v>
      </c>
      <c r="B306" s="17" t="s">
        <v>1070</v>
      </c>
      <c r="C306" s="6" t="s">
        <v>1090</v>
      </c>
      <c r="D306" s="6" t="s">
        <v>1087</v>
      </c>
      <c r="E306" s="6" t="s">
        <v>1091</v>
      </c>
      <c r="F306" s="40" t="str">
        <f>_xlfn.DISPIMG("ID_62DF6F3798C649AF8387F32638EBD37E",1)</f>
        <v>=DISPIMG("ID_62DF6F3798C649AF8387F32638EBD37E",1)</v>
      </c>
      <c r="G306" s="17" t="s">
        <v>14</v>
      </c>
      <c r="H306" s="17">
        <v>6</v>
      </c>
    </row>
    <row r="307" ht="57" customHeight="1" spans="1:8">
      <c r="A307" s="6" t="s">
        <v>1092</v>
      </c>
      <c r="B307" s="44" t="s">
        <v>1093</v>
      </c>
      <c r="C307" s="6" t="s">
        <v>1094</v>
      </c>
      <c r="D307" s="44" t="s">
        <v>1095</v>
      </c>
      <c r="E307" s="45" t="s">
        <v>1096</v>
      </c>
      <c r="F307" s="40" t="str">
        <f>_xlfn.DISPIMG("ID_2624DECBD687429A9129341B73BE9E3C",1)</f>
        <v>=DISPIMG("ID_2624DECBD687429A9129341B73BE9E3C",1)</v>
      </c>
      <c r="G307" s="17" t="s">
        <v>44</v>
      </c>
      <c r="H307" s="17">
        <v>4</v>
      </c>
    </row>
    <row r="308" ht="57" customHeight="1" spans="1:8">
      <c r="A308" s="6" t="s">
        <v>1097</v>
      </c>
      <c r="B308" s="6" t="s">
        <v>1098</v>
      </c>
      <c r="C308" s="6">
        <v>8003</v>
      </c>
      <c r="D308" s="6" t="s">
        <v>1045</v>
      </c>
      <c r="E308" s="45" t="s">
        <v>1096</v>
      </c>
      <c r="F308" s="40" t="str">
        <f>_xlfn.DISPIMG("ID_349EED5D09A1749C78515D66027500FC",1)</f>
        <v>=DISPIMG("ID_349EED5D09A1749C78515D66027500FC",1)</v>
      </c>
      <c r="G308" s="17" t="s">
        <v>14</v>
      </c>
      <c r="H308" s="17">
        <v>18</v>
      </c>
    </row>
    <row r="309" ht="57" customHeight="1" spans="1:8">
      <c r="A309" s="6" t="s">
        <v>1099</v>
      </c>
      <c r="B309" s="6" t="s">
        <v>1098</v>
      </c>
      <c r="C309" s="6">
        <v>101201</v>
      </c>
      <c r="D309" s="6" t="s">
        <v>12</v>
      </c>
      <c r="E309" s="45" t="s">
        <v>1096</v>
      </c>
      <c r="F309" s="40" t="str">
        <f>_xlfn.DISPIMG("ID_BCECF1E3379D89DEE5515D660D183994",1)</f>
        <v>=DISPIMG("ID_BCECF1E3379D89DEE5515D660D183994",1)</v>
      </c>
      <c r="G309" s="17" t="s">
        <v>14</v>
      </c>
      <c r="H309" s="17">
        <v>18</v>
      </c>
    </row>
    <row r="310" ht="57" customHeight="1" spans="1:8">
      <c r="A310" s="6" t="s">
        <v>1100</v>
      </c>
      <c r="B310" s="6" t="s">
        <v>1101</v>
      </c>
      <c r="C310" s="7" t="s">
        <v>1102</v>
      </c>
      <c r="D310" s="6" t="s">
        <v>12</v>
      </c>
      <c r="E310" s="7" t="s">
        <v>1103</v>
      </c>
      <c r="F310" s="40" t="str">
        <f>_xlfn.DISPIMG("ID_E79396F70A9F4DC0BC8D4215353A1F05",1)</f>
        <v>=DISPIMG("ID_E79396F70A9F4DC0BC8D4215353A1F05",1)</v>
      </c>
      <c r="G310" s="17" t="s">
        <v>14</v>
      </c>
      <c r="H310" s="17">
        <v>30</v>
      </c>
    </row>
    <row r="311" ht="57" customHeight="1" spans="1:8">
      <c r="A311" s="6" t="s">
        <v>1104</v>
      </c>
      <c r="B311" s="17" t="s">
        <v>1105</v>
      </c>
      <c r="C311" s="17" t="s">
        <v>345</v>
      </c>
      <c r="D311" s="46" t="s">
        <v>12</v>
      </c>
      <c r="E311" s="17" t="s">
        <v>1106</v>
      </c>
      <c r="F311" s="40" t="str">
        <f>_xlfn.DISPIMG("ID_B6BCA323B4E74C6FBAD246827352126E",1)</f>
        <v>=DISPIMG("ID_B6BCA323B4E74C6FBAD246827352126E",1)</v>
      </c>
      <c r="G311" s="17" t="s">
        <v>14</v>
      </c>
      <c r="H311" s="17">
        <v>30</v>
      </c>
    </row>
    <row r="312" ht="57" customHeight="1" spans="1:8">
      <c r="A312" s="6" t="s">
        <v>1107</v>
      </c>
      <c r="B312" s="6" t="s">
        <v>1108</v>
      </c>
      <c r="C312" s="17" t="s">
        <v>1109</v>
      </c>
      <c r="D312" s="6" t="s">
        <v>1110</v>
      </c>
      <c r="E312" s="6" t="s">
        <v>1111</v>
      </c>
      <c r="F312" s="40" t="str">
        <f>_xlfn.DISPIMG("ID_C664146C70D24307BF315B35D4357643",1)</f>
        <v>=DISPIMG("ID_C664146C70D24307BF315B35D4357643",1)</v>
      </c>
      <c r="G312" s="17" t="s">
        <v>14</v>
      </c>
      <c r="H312" s="17">
        <v>60</v>
      </c>
    </row>
    <row r="313" ht="57" customHeight="1" spans="1:8">
      <c r="A313" s="6" t="s">
        <v>1112</v>
      </c>
      <c r="B313" s="7" t="s">
        <v>453</v>
      </c>
      <c r="C313" s="89" t="s">
        <v>1113</v>
      </c>
      <c r="D313" s="7" t="s">
        <v>12</v>
      </c>
      <c r="E313" s="8" t="s">
        <v>1114</v>
      </c>
      <c r="F313" s="40" t="str">
        <f>_xlfn.DISPIMG("ID_572D97C20597484C92FBCC90E03E647C",1)</f>
        <v>=DISPIMG("ID_572D97C20597484C92FBCC90E03E647C",1)</v>
      </c>
      <c r="G313" s="17" t="s">
        <v>14</v>
      </c>
      <c r="H313" s="17">
        <v>4</v>
      </c>
    </row>
    <row r="314" ht="57" customHeight="1" spans="1:8">
      <c r="A314" s="6" t="s">
        <v>1115</v>
      </c>
      <c r="B314" s="6" t="s">
        <v>1116</v>
      </c>
      <c r="C314" s="89" t="s">
        <v>1117</v>
      </c>
      <c r="D314" s="6" t="s">
        <v>923</v>
      </c>
      <c r="E314" s="6" t="s">
        <v>1118</v>
      </c>
      <c r="F314" s="40" t="str">
        <f>_xlfn.DISPIMG("ID_F4A8604E367A4ABDA97AA47E566403D3",1)</f>
        <v>=DISPIMG("ID_F4A8604E367A4ABDA97AA47E566403D3",1)</v>
      </c>
      <c r="G314" s="17" t="s">
        <v>14</v>
      </c>
      <c r="H314" s="17">
        <v>3</v>
      </c>
    </row>
    <row r="315" ht="57" customHeight="1" spans="1:8">
      <c r="A315" s="6" t="s">
        <v>1119</v>
      </c>
      <c r="B315" s="6" t="s">
        <v>1120</v>
      </c>
      <c r="C315" s="6" t="s">
        <v>1121</v>
      </c>
      <c r="D315" s="6" t="s">
        <v>48</v>
      </c>
      <c r="E315" s="6" t="s">
        <v>1122</v>
      </c>
      <c r="F315" s="40" t="str">
        <f>_xlfn.DISPIMG("ID_6E9CFF4970344FBB8D3E71278B998630",1)</f>
        <v>=DISPIMG("ID_6E9CFF4970344FBB8D3E71278B998630",1)</v>
      </c>
      <c r="G315" s="17" t="s">
        <v>903</v>
      </c>
      <c r="H315" s="17">
        <v>6</v>
      </c>
    </row>
    <row r="316" ht="57" customHeight="1" spans="1:8">
      <c r="A316" s="6" t="s">
        <v>1123</v>
      </c>
      <c r="B316" s="6" t="s">
        <v>515</v>
      </c>
      <c r="C316" s="6" t="s">
        <v>1124</v>
      </c>
      <c r="D316" s="17" t="s">
        <v>68</v>
      </c>
      <c r="E316" s="6" t="s">
        <v>1125</v>
      </c>
      <c r="F316" s="40" t="str">
        <f>_xlfn.DISPIMG("ID_71F889D8358049FCB22DE6DA6448BEC2",1)</f>
        <v>=DISPIMG("ID_71F889D8358049FCB22DE6DA6448BEC2",1)</v>
      </c>
      <c r="G316" s="17" t="s">
        <v>442</v>
      </c>
      <c r="H316" s="17">
        <v>8</v>
      </c>
    </row>
    <row r="317" ht="57" customHeight="1" spans="1:8">
      <c r="A317" s="6" t="s">
        <v>1126</v>
      </c>
      <c r="B317" s="6" t="s">
        <v>1127</v>
      </c>
      <c r="C317" s="8" t="s">
        <v>1128</v>
      </c>
      <c r="D317" s="46" t="s">
        <v>1129</v>
      </c>
      <c r="E317" s="7" t="s">
        <v>1130</v>
      </c>
      <c r="F317" s="5" t="str">
        <f>_xlfn.DISPIMG("ID_776946152C2244EFB931F6E73CA5F1B2",1)</f>
        <v>=DISPIMG("ID_776946152C2244EFB931F6E73CA5F1B2",1)</v>
      </c>
      <c r="G317" s="17" t="s">
        <v>14</v>
      </c>
      <c r="H317" s="17">
        <v>1</v>
      </c>
    </row>
    <row r="318" ht="57" customHeight="1" spans="1:8">
      <c r="A318" s="26" t="s">
        <v>1131</v>
      </c>
      <c r="B318" s="25" t="s">
        <v>1132</v>
      </c>
      <c r="C318" s="26" t="s">
        <v>1133</v>
      </c>
      <c r="D318" s="26" t="s">
        <v>1134</v>
      </c>
      <c r="E318" s="26" t="s">
        <v>1133</v>
      </c>
      <c r="F318" s="40" t="str">
        <f>_xlfn.DISPIMG("ID_3EAA76580F8A4A4C9DB664EE03D43933",1)</f>
        <v>=DISPIMG("ID_3EAA76580F8A4A4C9DB664EE03D43933",1)</v>
      </c>
      <c r="G318" s="17" t="s">
        <v>903</v>
      </c>
      <c r="H318" s="17">
        <v>4</v>
      </c>
    </row>
    <row r="319" ht="57" customHeight="1" spans="1:8">
      <c r="A319" s="26" t="s">
        <v>1135</v>
      </c>
      <c r="B319" s="25" t="s">
        <v>1136</v>
      </c>
      <c r="C319" s="26" t="s">
        <v>1133</v>
      </c>
      <c r="D319" s="26" t="s">
        <v>1134</v>
      </c>
      <c r="E319" s="26" t="s">
        <v>1133</v>
      </c>
      <c r="F319" s="40" t="str">
        <f>_xlfn.DISPIMG("ID_0DC5B89EB1B843748F4BD83F84702BF6",1)</f>
        <v>=DISPIMG("ID_0DC5B89EB1B843748F4BD83F84702BF6",1)</v>
      </c>
      <c r="G319" s="17" t="s">
        <v>903</v>
      </c>
      <c r="H319" s="17">
        <v>4</v>
      </c>
    </row>
    <row r="320" ht="57" customHeight="1" spans="1:8">
      <c r="A320" s="25" t="s">
        <v>1137</v>
      </c>
      <c r="B320" s="26" t="s">
        <v>1138</v>
      </c>
      <c r="C320" s="25" t="s">
        <v>1139</v>
      </c>
      <c r="D320" s="26" t="s">
        <v>1140</v>
      </c>
      <c r="E320" s="25" t="s">
        <v>1141</v>
      </c>
      <c r="F320" s="40" t="str">
        <f>_xlfn.DISPIMG("ID_C2E04ED39CE04B3D841E1FEF4339E156",1)</f>
        <v>=DISPIMG("ID_C2E04ED39CE04B3D841E1FEF4339E156",1)</v>
      </c>
      <c r="G320" s="17" t="s">
        <v>14</v>
      </c>
      <c r="H320" s="17">
        <v>2</v>
      </c>
    </row>
    <row r="321" ht="57" customHeight="1" spans="1:8">
      <c r="A321" s="6" t="s">
        <v>1142</v>
      </c>
      <c r="B321" s="26" t="s">
        <v>1143</v>
      </c>
      <c r="C321" s="25" t="s">
        <v>1144</v>
      </c>
      <c r="D321" s="26" t="s">
        <v>534</v>
      </c>
      <c r="E321" s="26" t="s">
        <v>1145</v>
      </c>
      <c r="F321" s="40" t="str">
        <f>_xlfn.DISPIMG("ID_B7A3F4232FBB4A0DBE4230759C9D1A5D",1)</f>
        <v>=DISPIMG("ID_B7A3F4232FBB4A0DBE4230759C9D1A5D",1)</v>
      </c>
      <c r="G321" s="17" t="s">
        <v>14</v>
      </c>
      <c r="H321" s="17">
        <v>6</v>
      </c>
    </row>
    <row r="322" ht="57" customHeight="1" spans="1:8">
      <c r="A322" s="34" t="s">
        <v>1146</v>
      </c>
      <c r="B322" s="35" t="s">
        <v>1147</v>
      </c>
      <c r="C322" s="34" t="s">
        <v>1148</v>
      </c>
      <c r="D322" s="25" t="s">
        <v>1149</v>
      </c>
      <c r="E322" s="25" t="s">
        <v>1150</v>
      </c>
      <c r="F322" s="40" t="str">
        <f>_xlfn.DISPIMG("ID_D3E479D066CE44FFADEAC6202A47265C",1)</f>
        <v>=DISPIMG("ID_D3E479D066CE44FFADEAC6202A47265C",1)</v>
      </c>
      <c r="G322" s="17" t="s">
        <v>44</v>
      </c>
      <c r="H322" s="17">
        <v>6</v>
      </c>
    </row>
    <row r="323" ht="57" customHeight="1" spans="1:8">
      <c r="A323" s="6" t="s">
        <v>1151</v>
      </c>
      <c r="B323" s="6" t="s">
        <v>1152</v>
      </c>
      <c r="C323" s="7" t="s">
        <v>1153</v>
      </c>
      <c r="D323" s="7" t="s">
        <v>923</v>
      </c>
      <c r="E323" s="7" t="s">
        <v>1154</v>
      </c>
      <c r="F323" s="40" t="str">
        <f>_xlfn.DISPIMG("ID_09E7536916E84BCBA8400576DA4D224E",1)</f>
        <v>=DISPIMG("ID_09E7536916E84BCBA8400576DA4D224E",1)</v>
      </c>
      <c r="G323" s="17" t="s">
        <v>14</v>
      </c>
      <c r="H323" s="17">
        <v>3</v>
      </c>
    </row>
    <row r="324" ht="57" customHeight="1" spans="1:8">
      <c r="A324" s="25" t="s">
        <v>1155</v>
      </c>
      <c r="B324" s="26" t="s">
        <v>1156</v>
      </c>
      <c r="C324" s="91" t="s">
        <v>1157</v>
      </c>
      <c r="D324" s="26" t="s">
        <v>1158</v>
      </c>
      <c r="E324" s="26" t="s">
        <v>1159</v>
      </c>
      <c r="F324" s="40" t="str">
        <f>_xlfn.DISPIMG("ID_D76DE7FD069D44EE811FF1E732CB805A",1)</f>
        <v>=DISPIMG("ID_D76DE7FD069D44EE811FF1E732CB805A",1)</v>
      </c>
      <c r="G324" s="17" t="s">
        <v>44</v>
      </c>
      <c r="H324" s="17">
        <v>5</v>
      </c>
    </row>
    <row r="325" ht="57" customHeight="1" spans="1:8">
      <c r="A325" s="6" t="s">
        <v>1160</v>
      </c>
      <c r="B325" s="6" t="s">
        <v>439</v>
      </c>
      <c r="C325" s="6" t="s">
        <v>624</v>
      </c>
      <c r="D325" s="6" t="s">
        <v>12</v>
      </c>
      <c r="E325" s="6" t="s">
        <v>1161</v>
      </c>
      <c r="F325" s="6" t="str">
        <f>_xlfn.DISPIMG("ID_0CD451845010443E958D56C3FE4555BF",1)</f>
        <v>=DISPIMG("ID_0CD451845010443E958D56C3FE4555BF",1)</v>
      </c>
      <c r="G325" s="6" t="s">
        <v>44</v>
      </c>
      <c r="H325" s="6">
        <v>2</v>
      </c>
    </row>
    <row r="326" s="1" customFormat="1" ht="57" customHeight="1" spans="1:8">
      <c r="A326" s="6" t="s">
        <v>1162</v>
      </c>
      <c r="B326" s="6" t="s">
        <v>1163</v>
      </c>
      <c r="C326" s="6">
        <v>1234566</v>
      </c>
      <c r="D326" s="6" t="s">
        <v>12</v>
      </c>
      <c r="E326" s="6" t="s">
        <v>1164</v>
      </c>
      <c r="F326" s="6" t="str">
        <f>_xlfn.DISPIMG("ID_BDEFD5C5803540BE96B02967BEE4BE88",1)</f>
        <v>=DISPIMG("ID_BDEFD5C5803540BE96B02967BEE4BE88",1)</v>
      </c>
      <c r="G326" s="6" t="s">
        <v>14</v>
      </c>
      <c r="H326" s="6">
        <v>60</v>
      </c>
    </row>
    <row r="327" s="1" customFormat="1" ht="57" customHeight="1" spans="1:8">
      <c r="A327" s="6" t="s">
        <v>1165</v>
      </c>
      <c r="B327" s="6" t="s">
        <v>1163</v>
      </c>
      <c r="C327" s="6">
        <v>123456</v>
      </c>
      <c r="D327" s="6" t="s">
        <v>12</v>
      </c>
      <c r="E327" s="6" t="s">
        <v>1166</v>
      </c>
      <c r="F327" s="6" t="str">
        <f>_xlfn.DISPIMG("ID_A3CF773EC43342AB8CBC97679727ED4C",1)</f>
        <v>=DISPIMG("ID_A3CF773EC43342AB8CBC97679727ED4C",1)</v>
      </c>
      <c r="G327" s="6" t="s">
        <v>14</v>
      </c>
      <c r="H327" s="6">
        <v>20</v>
      </c>
    </row>
    <row r="328" ht="57" customHeight="1" spans="1:8">
      <c r="A328" s="20" t="s">
        <v>1167</v>
      </c>
      <c r="B328" s="6" t="s">
        <v>1168</v>
      </c>
      <c r="C328" s="6" t="s">
        <v>1169</v>
      </c>
      <c r="D328" s="17" t="s">
        <v>345</v>
      </c>
      <c r="E328" s="6" t="s">
        <v>1170</v>
      </c>
      <c r="F328" s="40" t="str">
        <f>_xlfn.DISPIMG("ID_CB93681704CD422BA3602328068AEB40",1)</f>
        <v>=DISPIMG("ID_CB93681704CD422BA3602328068AEB40",1)</v>
      </c>
      <c r="G328" s="17" t="s">
        <v>44</v>
      </c>
      <c r="H328" s="17">
        <v>3</v>
      </c>
    </row>
    <row r="329" ht="57" customHeight="1" spans="1:8">
      <c r="A329" s="20" t="s">
        <v>1171</v>
      </c>
      <c r="B329" s="6" t="s">
        <v>933</v>
      </c>
      <c r="C329" s="17" t="s">
        <v>1172</v>
      </c>
      <c r="D329" s="17" t="s">
        <v>1173</v>
      </c>
      <c r="E329" s="17" t="s">
        <v>1174</v>
      </c>
      <c r="F329" s="40" t="str">
        <f>_xlfn.DISPIMG("ID_B4BDA32FC1164FAF801DD84E6126AB23",1)</f>
        <v>=DISPIMG("ID_B4BDA32FC1164FAF801DD84E6126AB23",1)</v>
      </c>
      <c r="G329" s="17" t="s">
        <v>14</v>
      </c>
      <c r="H329" s="17">
        <v>4</v>
      </c>
    </row>
    <row r="330" ht="57" customHeight="1" spans="1:8">
      <c r="A330" s="42" t="s">
        <v>1175</v>
      </c>
      <c r="B330" s="6" t="s">
        <v>933</v>
      </c>
      <c r="C330" s="6" t="s">
        <v>1176</v>
      </c>
      <c r="D330" s="6" t="s">
        <v>1177</v>
      </c>
      <c r="E330" s="17" t="s">
        <v>1178</v>
      </c>
      <c r="F330" s="47" t="str">
        <f>_xlfn.DISPIMG("ID_38E1209A355B4ED3B3F7535CFB52703F",1)</f>
        <v>=DISPIMG("ID_38E1209A355B4ED3B3F7535CFB52703F",1)</v>
      </c>
      <c r="G330" s="17" t="s">
        <v>14</v>
      </c>
      <c r="H330" s="17">
        <v>2</v>
      </c>
    </row>
    <row r="331" ht="57" customHeight="1" spans="1:8">
      <c r="A331" s="20" t="s">
        <v>1179</v>
      </c>
      <c r="B331" s="6" t="s">
        <v>1180</v>
      </c>
      <c r="C331" s="6" t="s">
        <v>1181</v>
      </c>
      <c r="D331" s="6" t="s">
        <v>1182</v>
      </c>
      <c r="E331" s="6" t="s">
        <v>469</v>
      </c>
      <c r="F331" s="40" t="str">
        <f>_xlfn.DISPIMG("ID_F62B076B249E4C5084D54B58A7D9DE5C",1)</f>
        <v>=DISPIMG("ID_F62B076B249E4C5084D54B58A7D9DE5C",1)</v>
      </c>
      <c r="G331" s="17" t="s">
        <v>44</v>
      </c>
      <c r="H331" s="17">
        <v>1</v>
      </c>
    </row>
    <row r="332" ht="57" customHeight="1" spans="1:8">
      <c r="A332" s="20" t="s">
        <v>1183</v>
      </c>
      <c r="B332" s="6" t="s">
        <v>1184</v>
      </c>
      <c r="C332" s="6" t="s">
        <v>1185</v>
      </c>
      <c r="D332" s="6" t="s">
        <v>1186</v>
      </c>
      <c r="E332" s="6" t="s">
        <v>1187</v>
      </c>
      <c r="F332" s="40" t="str">
        <f>_xlfn.DISPIMG("ID_045EE8B7FDDB484886BBA5C0911DE437",1)</f>
        <v>=DISPIMG("ID_045EE8B7FDDB484886BBA5C0911DE437",1)</v>
      </c>
      <c r="G332" s="17" t="s">
        <v>14</v>
      </c>
      <c r="H332" s="17">
        <v>4</v>
      </c>
    </row>
    <row r="333" ht="57" customHeight="1" spans="1:8">
      <c r="A333" s="20" t="s">
        <v>1188</v>
      </c>
      <c r="B333" s="6" t="s">
        <v>1189</v>
      </c>
      <c r="C333" s="44" t="s">
        <v>1190</v>
      </c>
      <c r="D333" s="44" t="s">
        <v>68</v>
      </c>
      <c r="E333" s="44" t="s">
        <v>1191</v>
      </c>
      <c r="F333" s="17" t="str">
        <f>_xlfn.DISPIMG("ID_674B5D2EBB144406905904362077DCB8",1)</f>
        <v>=DISPIMG("ID_674B5D2EBB144406905904362077DCB8",1)</v>
      </c>
      <c r="G333" s="17" t="s">
        <v>44</v>
      </c>
      <c r="H333" s="17">
        <v>1</v>
      </c>
    </row>
    <row r="334" ht="57" customHeight="1" spans="1:8">
      <c r="A334" s="48" t="s">
        <v>1192</v>
      </c>
      <c r="B334" s="11" t="s">
        <v>410</v>
      </c>
      <c r="C334" s="11" t="s">
        <v>1193</v>
      </c>
      <c r="D334" s="11" t="s">
        <v>1194</v>
      </c>
      <c r="E334" s="11" t="s">
        <v>1195</v>
      </c>
      <c r="F334" s="49" t="str">
        <f>_xlfn.DISPIMG("ID_CB2E8D48110D47BB8120D7DDEE69A3AA",1)</f>
        <v>=DISPIMG("ID_CB2E8D48110D47BB8120D7DDEE69A3AA",1)</v>
      </c>
      <c r="G334" s="38" t="s">
        <v>44</v>
      </c>
      <c r="H334" s="38">
        <v>1</v>
      </c>
    </row>
    <row r="335" ht="57" customHeight="1" spans="1:8">
      <c r="A335" s="20" t="s">
        <v>1196</v>
      </c>
      <c r="B335" s="6" t="s">
        <v>743</v>
      </c>
      <c r="C335" s="6" t="s">
        <v>839</v>
      </c>
      <c r="D335" s="6" t="s">
        <v>1197</v>
      </c>
      <c r="E335" s="6" t="s">
        <v>1198</v>
      </c>
      <c r="F335" s="40" t="str">
        <f>_xlfn.DISPIMG("ID_8424A210BA13403482DC6424B5EA667C",1)</f>
        <v>=DISPIMG("ID_8424A210BA13403482DC6424B5EA667C",1)</v>
      </c>
      <c r="G335" s="17" t="s">
        <v>1199</v>
      </c>
      <c r="H335" s="17">
        <v>2</v>
      </c>
    </row>
    <row r="336" ht="57" customHeight="1" spans="1:8">
      <c r="A336" s="50" t="s">
        <v>1200</v>
      </c>
      <c r="B336" s="17" t="s">
        <v>1201</v>
      </c>
      <c r="C336" s="6" t="s">
        <v>1202</v>
      </c>
      <c r="D336" s="5" t="s">
        <v>1203</v>
      </c>
      <c r="E336" s="5" t="s">
        <v>1204</v>
      </c>
      <c r="F336" s="40" t="str">
        <f>_xlfn.DISPIMG("ID_667383BE8C6341859F19A977749ACC2D",1)</f>
        <v>=DISPIMG("ID_667383BE8C6341859F19A977749ACC2D",1)</v>
      </c>
      <c r="G336" s="17" t="s">
        <v>456</v>
      </c>
      <c r="H336" s="17">
        <v>72</v>
      </c>
    </row>
    <row r="337" ht="57" customHeight="1" spans="1:8">
      <c r="A337" s="20" t="s">
        <v>1205</v>
      </c>
      <c r="B337" s="17" t="s">
        <v>1206</v>
      </c>
      <c r="C337" s="17">
        <v>342900</v>
      </c>
      <c r="D337" s="17" t="s">
        <v>1207</v>
      </c>
      <c r="E337" s="17" t="s">
        <v>1030</v>
      </c>
      <c r="F337" s="40" t="str">
        <f>_xlfn.DISPIMG("ID_8A3DA12525AB4EE5BE8DF0DE4B4E2B16",1)</f>
        <v>=DISPIMG("ID_8A3DA12525AB4EE5BE8DF0DE4B4E2B16",1)</v>
      </c>
      <c r="G337" s="17" t="s">
        <v>685</v>
      </c>
      <c r="H337" s="17">
        <v>1</v>
      </c>
    </row>
    <row r="338" ht="57" customHeight="1" spans="1:8">
      <c r="A338" s="51" t="s">
        <v>1208</v>
      </c>
      <c r="B338" s="52" t="s">
        <v>1209</v>
      </c>
      <c r="C338" s="53" t="s">
        <v>1210</v>
      </c>
      <c r="D338" s="11" t="s">
        <v>1211</v>
      </c>
      <c r="E338" s="11" t="s">
        <v>1212</v>
      </c>
      <c r="F338" s="54" t="str">
        <f>_xlfn.DISPIMG("ID_860BE2A0BD1F448982B3C1C3DD155E31",1)</f>
        <v>=DISPIMG("ID_860BE2A0BD1F448982B3C1C3DD155E31",1)</v>
      </c>
      <c r="G338" s="38" t="s">
        <v>14</v>
      </c>
      <c r="H338" s="38">
        <v>3</v>
      </c>
    </row>
    <row r="339" ht="57" customHeight="1" spans="1:8">
      <c r="A339" s="14" t="s">
        <v>1213</v>
      </c>
      <c r="B339" s="52" t="s">
        <v>1018</v>
      </c>
      <c r="C339" s="55" t="s">
        <v>1214</v>
      </c>
      <c r="D339" s="14" t="s">
        <v>1215</v>
      </c>
      <c r="E339" s="14" t="s">
        <v>1216</v>
      </c>
      <c r="F339" s="54" t="str">
        <f>_xlfn.DISPIMG("ID_C9185C9397ED45AD9E504E7FECBABC6C",1)</f>
        <v>=DISPIMG("ID_C9185C9397ED45AD9E504E7FECBABC6C",1)</v>
      </c>
      <c r="G339" s="14" t="s">
        <v>44</v>
      </c>
      <c r="H339" s="11">
        <v>1</v>
      </c>
    </row>
    <row r="340" ht="57" customHeight="1" spans="1:8">
      <c r="A340" s="14" t="s">
        <v>1217</v>
      </c>
      <c r="B340" s="52" t="s">
        <v>1018</v>
      </c>
      <c r="C340" s="55" t="s">
        <v>1218</v>
      </c>
      <c r="D340" s="14" t="s">
        <v>1215</v>
      </c>
      <c r="E340" s="14" t="s">
        <v>1219</v>
      </c>
      <c r="F340" s="54" t="str">
        <f>_xlfn.DISPIMG("ID_BAD0BF76A4B44B9A93616C390EBC2708",1)</f>
        <v>=DISPIMG("ID_BAD0BF76A4B44B9A93616C390EBC2708",1)</v>
      </c>
      <c r="G340" s="14" t="s">
        <v>44</v>
      </c>
      <c r="H340" s="11">
        <v>1</v>
      </c>
    </row>
    <row r="341" ht="57" customHeight="1" spans="1:8">
      <c r="A341" s="14" t="s">
        <v>1220</v>
      </c>
      <c r="B341" s="52" t="s">
        <v>1018</v>
      </c>
      <c r="C341" s="55" t="s">
        <v>1221</v>
      </c>
      <c r="D341" s="14" t="s">
        <v>1215</v>
      </c>
      <c r="E341" s="14" t="s">
        <v>1222</v>
      </c>
      <c r="F341" s="54" t="str">
        <f>_xlfn.DISPIMG("ID_009F7039272C481682DE61BD74E4F457",1)</f>
        <v>=DISPIMG("ID_009F7039272C481682DE61BD74E4F457",1)</v>
      </c>
      <c r="G341" s="14" t="s">
        <v>44</v>
      </c>
      <c r="H341" s="11">
        <v>1</v>
      </c>
    </row>
    <row r="342" ht="57" customHeight="1" spans="1:8">
      <c r="A342" s="51" t="s">
        <v>1223</v>
      </c>
      <c r="B342" s="52" t="s">
        <v>1224</v>
      </c>
      <c r="C342" s="56">
        <v>233</v>
      </c>
      <c r="D342" s="11" t="s">
        <v>68</v>
      </c>
      <c r="E342" s="11" t="s">
        <v>1225</v>
      </c>
      <c r="F342" s="54" t="str">
        <f>_xlfn.DISPIMG("ID_360B2C4A340F44AE905ED7C695B289B2",1)</f>
        <v>=DISPIMG("ID_360B2C4A340F44AE905ED7C695B289B2",1)</v>
      </c>
      <c r="G342" s="38" t="s">
        <v>14</v>
      </c>
      <c r="H342" s="38">
        <v>2</v>
      </c>
    </row>
    <row r="343" ht="57" customHeight="1" spans="1:8">
      <c r="A343" s="11" t="s">
        <v>1226</v>
      </c>
      <c r="B343" s="52" t="s">
        <v>1227</v>
      </c>
      <c r="C343" s="56" t="s">
        <v>1228</v>
      </c>
      <c r="D343" s="11" t="s">
        <v>12</v>
      </c>
      <c r="E343" s="11" t="s">
        <v>1229</v>
      </c>
      <c r="F343" s="54" t="str">
        <f>_xlfn.DISPIMG("ID_19BC4177706841728D165B5996150137",1)</f>
        <v>=DISPIMG("ID_19BC4177706841728D165B5996150137",1)</v>
      </c>
      <c r="G343" s="14" t="s">
        <v>14</v>
      </c>
      <c r="H343" s="15">
        <v>3</v>
      </c>
    </row>
    <row r="344" ht="57" customHeight="1" spans="1:8">
      <c r="A344" s="51" t="s">
        <v>1230</v>
      </c>
      <c r="B344" s="11" t="s">
        <v>1231</v>
      </c>
      <c r="C344" s="56" t="s">
        <v>1232</v>
      </c>
      <c r="D344" s="11" t="s">
        <v>12</v>
      </c>
      <c r="E344" s="11" t="s">
        <v>1233</v>
      </c>
      <c r="F344" s="54" t="str">
        <f>_xlfn.DISPIMG("ID_B4DCC4D3900D4CE58D512165A08886A8",1)</f>
        <v>=DISPIMG("ID_B4DCC4D3900D4CE58D512165A08886A8",1)</v>
      </c>
      <c r="G344" s="38" t="s">
        <v>14</v>
      </c>
      <c r="H344" s="38">
        <v>3</v>
      </c>
    </row>
    <row r="345" ht="57" customHeight="1" spans="1:8">
      <c r="A345" s="11" t="s">
        <v>1234</v>
      </c>
      <c r="B345" s="11" t="s">
        <v>1235</v>
      </c>
      <c r="C345" s="55">
        <v>8802</v>
      </c>
      <c r="D345" s="11" t="s">
        <v>1207</v>
      </c>
      <c r="E345" s="11" t="s">
        <v>1236</v>
      </c>
      <c r="F345" s="54" t="str">
        <f>_xlfn.DISPIMG("ID_8C8AAD571DD144F7B9EA31071FA14790",1)</f>
        <v>=DISPIMG("ID_8C8AAD571DD144F7B9EA31071FA14790",1)</v>
      </c>
      <c r="G345" s="14" t="s">
        <v>44</v>
      </c>
      <c r="H345" s="15">
        <v>2</v>
      </c>
    </row>
    <row r="346" ht="57" customHeight="1" spans="1:8">
      <c r="A346" s="11" t="s">
        <v>1237</v>
      </c>
      <c r="B346" s="11" t="s">
        <v>1238</v>
      </c>
      <c r="C346" s="55" t="s">
        <v>1239</v>
      </c>
      <c r="D346" s="11" t="s">
        <v>1207</v>
      </c>
      <c r="E346" s="11" t="s">
        <v>1240</v>
      </c>
      <c r="F346" s="54" t="str">
        <f>_xlfn.DISPIMG("ID_D8D0E33B3E974BB79B369FD2CF9F48CC",1)</f>
        <v>=DISPIMG("ID_D8D0E33B3E974BB79B369FD2CF9F48CC",1)</v>
      </c>
      <c r="G346" s="14" t="s">
        <v>44</v>
      </c>
      <c r="H346" s="15">
        <v>4</v>
      </c>
    </row>
    <row r="347" ht="57" customHeight="1" spans="1:8">
      <c r="A347" s="51" t="s">
        <v>1241</v>
      </c>
      <c r="B347" s="11" t="s">
        <v>1242</v>
      </c>
      <c r="C347" s="56" t="s">
        <v>1241</v>
      </c>
      <c r="D347" s="11" t="s">
        <v>68</v>
      </c>
      <c r="E347" s="11" t="s">
        <v>1243</v>
      </c>
      <c r="F347" s="54" t="str">
        <f>_xlfn.DISPIMG("ID_33A2A23CCA254EA0AA8FE8A1DEE3CA23",1)</f>
        <v>=DISPIMG("ID_33A2A23CCA254EA0AA8FE8A1DEE3CA23",1)</v>
      </c>
      <c r="G347" s="38" t="s">
        <v>44</v>
      </c>
      <c r="H347" s="38">
        <v>3</v>
      </c>
    </row>
    <row r="348" ht="57" customHeight="1" spans="1:8">
      <c r="A348" s="51" t="s">
        <v>1244</v>
      </c>
      <c r="B348" s="51" t="s">
        <v>1245</v>
      </c>
      <c r="C348" s="12" t="s">
        <v>1246</v>
      </c>
      <c r="D348" s="11" t="s">
        <v>68</v>
      </c>
      <c r="E348" s="6" t="s">
        <v>1247</v>
      </c>
      <c r="F348" s="54" t="str">
        <f>_xlfn.DISPIMG("ID_93FF9BC5AA764E14B774AD794CA04FD8",1)</f>
        <v>=DISPIMG("ID_93FF9BC5AA764E14B774AD794CA04FD8",1)</v>
      </c>
      <c r="G348" s="38" t="s">
        <v>44</v>
      </c>
      <c r="H348" s="38">
        <v>3</v>
      </c>
    </row>
    <row r="349" ht="57" customHeight="1" spans="1:8">
      <c r="A349" s="51" t="s">
        <v>1248</v>
      </c>
      <c r="B349" s="11" t="s">
        <v>1249</v>
      </c>
      <c r="C349" s="56" t="s">
        <v>1250</v>
      </c>
      <c r="D349" s="11" t="s">
        <v>68</v>
      </c>
      <c r="E349" s="17" t="s">
        <v>1251</v>
      </c>
      <c r="F349" s="54" t="str">
        <f>_xlfn.DISPIMG("ID_5221A867B33F4CCEA7CB98354028CFE8",1)</f>
        <v>=DISPIMG("ID_5221A867B33F4CCEA7CB98354028CFE8",1)</v>
      </c>
      <c r="G349" s="38" t="s">
        <v>44</v>
      </c>
      <c r="H349" s="38">
        <v>4</v>
      </c>
    </row>
    <row r="350" ht="57" customHeight="1" spans="1:8">
      <c r="A350" s="51" t="s">
        <v>1252</v>
      </c>
      <c r="B350" s="52" t="s">
        <v>1253</v>
      </c>
      <c r="C350" s="56">
        <v>230728001</v>
      </c>
      <c r="D350" s="11" t="s">
        <v>68</v>
      </c>
      <c r="E350" s="17" t="s">
        <v>1254</v>
      </c>
      <c r="F350" s="54" t="str">
        <f>_xlfn.DISPIMG("ID_BE1102361C1142F5AC1A64402D6F60DB",1)</f>
        <v>=DISPIMG("ID_BE1102361C1142F5AC1A64402D6F60DB",1)</v>
      </c>
      <c r="G350" s="38" t="s">
        <v>44</v>
      </c>
      <c r="H350" s="38">
        <v>4</v>
      </c>
    </row>
    <row r="351" ht="57" customHeight="1" spans="1:8">
      <c r="A351" s="51" t="s">
        <v>1255</v>
      </c>
      <c r="B351" s="51" t="s">
        <v>1184</v>
      </c>
      <c r="C351" s="56">
        <v>25</v>
      </c>
      <c r="D351" s="11" t="s">
        <v>68</v>
      </c>
      <c r="E351" s="6" t="s">
        <v>1256</v>
      </c>
      <c r="F351" s="54" t="str">
        <f>_xlfn.DISPIMG("ID_B1EC1C2A4C44465390582B6E48787780",1)</f>
        <v>=DISPIMG("ID_B1EC1C2A4C44465390582B6E48787780",1)</v>
      </c>
      <c r="G351" s="38" t="s">
        <v>44</v>
      </c>
      <c r="H351" s="38">
        <v>3</v>
      </c>
    </row>
    <row r="352" ht="57" customHeight="1" spans="1:8">
      <c r="A352" s="51" t="s">
        <v>1257</v>
      </c>
      <c r="B352" s="52" t="s">
        <v>1258</v>
      </c>
      <c r="C352" s="56" t="s">
        <v>1259</v>
      </c>
      <c r="D352" s="11" t="s">
        <v>12</v>
      </c>
      <c r="E352" s="6" t="s">
        <v>1260</v>
      </c>
      <c r="F352" s="54" t="str">
        <f>_xlfn.DISPIMG("ID_77F77C4A187E493CB01D4FA74F2286B4",1)</f>
        <v>=DISPIMG("ID_77F77C4A187E493CB01D4FA74F2286B4",1)</v>
      </c>
      <c r="G352" s="38" t="s">
        <v>44</v>
      </c>
      <c r="H352" s="38">
        <v>6</v>
      </c>
    </row>
    <row r="353" ht="57" customHeight="1" spans="1:8">
      <c r="A353" s="14" t="s">
        <v>1261</v>
      </c>
      <c r="B353" s="14" t="s">
        <v>528</v>
      </c>
      <c r="C353" s="57" t="s">
        <v>1262</v>
      </c>
      <c r="D353" s="14" t="s">
        <v>12</v>
      </c>
      <c r="E353" s="14" t="s">
        <v>1263</v>
      </c>
      <c r="F353" s="54" t="str">
        <f>_xlfn.DISPIMG("ID_644EE778DCE44794B186D466D846B527",1)</f>
        <v>=DISPIMG("ID_644EE778DCE44794B186D466D846B527",1)</v>
      </c>
      <c r="G353" s="14" t="s">
        <v>44</v>
      </c>
      <c r="H353" s="11">
        <v>3</v>
      </c>
    </row>
    <row r="354" ht="57" customHeight="1" spans="1:8">
      <c r="A354" s="14" t="s">
        <v>1264</v>
      </c>
      <c r="B354" s="14" t="s">
        <v>1265</v>
      </c>
      <c r="C354" s="57">
        <v>6</v>
      </c>
      <c r="D354" s="14" t="s">
        <v>12</v>
      </c>
      <c r="E354" s="14" t="s">
        <v>1266</v>
      </c>
      <c r="F354" s="54" t="str">
        <f>_xlfn.DISPIMG("ID_C83EEC4AB614417B97AAD9173B3159AC",1)</f>
        <v>=DISPIMG("ID_C83EEC4AB614417B97AAD9173B3159AC",1)</v>
      </c>
      <c r="G354" s="14" t="s">
        <v>44</v>
      </c>
      <c r="H354" s="11">
        <v>3</v>
      </c>
    </row>
    <row r="355" ht="57" customHeight="1" spans="1:8">
      <c r="A355" s="51" t="s">
        <v>1267</v>
      </c>
      <c r="B355" s="11" t="s">
        <v>1268</v>
      </c>
      <c r="C355" s="12" t="s">
        <v>1269</v>
      </c>
      <c r="D355" s="11" t="s">
        <v>1270</v>
      </c>
      <c r="E355" s="6" t="s">
        <v>1271</v>
      </c>
      <c r="F355" s="54" t="str">
        <f>_xlfn.DISPIMG("ID_2480F1E253A343B7BF58F2E9979D7B44",1)</f>
        <v>=DISPIMG("ID_2480F1E253A343B7BF58F2E9979D7B44",1)</v>
      </c>
      <c r="G355" s="38" t="s">
        <v>44</v>
      </c>
      <c r="H355" s="38">
        <v>3</v>
      </c>
    </row>
    <row r="356" ht="57" customHeight="1" spans="1:8">
      <c r="A356" s="51" t="s">
        <v>1272</v>
      </c>
      <c r="B356" s="11" t="s">
        <v>1268</v>
      </c>
      <c r="C356" s="53" t="s">
        <v>1273</v>
      </c>
      <c r="D356" s="11" t="s">
        <v>1270</v>
      </c>
      <c r="E356" s="17" t="s">
        <v>1274</v>
      </c>
      <c r="F356" s="54" t="str">
        <f>_xlfn.DISPIMG("ID_5DB868EF24964E4185BF024A17418003",1)</f>
        <v>=DISPIMG("ID_5DB868EF24964E4185BF024A17418003",1)</v>
      </c>
      <c r="G356" s="38" t="s">
        <v>44</v>
      </c>
      <c r="H356" s="38">
        <v>4</v>
      </c>
    </row>
    <row r="357" ht="57" customHeight="1" spans="1:8">
      <c r="A357" s="51" t="s">
        <v>1275</v>
      </c>
      <c r="B357" s="52" t="s">
        <v>1276</v>
      </c>
      <c r="C357" s="56" t="s">
        <v>1277</v>
      </c>
      <c r="D357" s="11" t="s">
        <v>1278</v>
      </c>
      <c r="E357" s="17" t="s">
        <v>1279</v>
      </c>
      <c r="F357" s="54" t="str">
        <f>_xlfn.DISPIMG("ID_59927D59A46344F681DB599AA12BEA09",1)</f>
        <v>=DISPIMG("ID_59927D59A46344F681DB599AA12BEA09",1)</v>
      </c>
      <c r="G357" s="38" t="s">
        <v>44</v>
      </c>
      <c r="H357" s="38">
        <v>3</v>
      </c>
    </row>
    <row r="358" ht="57" customHeight="1" spans="1:8">
      <c r="A358" s="11" t="s">
        <v>1280</v>
      </c>
      <c r="B358" s="12" t="s">
        <v>880</v>
      </c>
      <c r="C358" s="52" t="s">
        <v>1281</v>
      </c>
      <c r="D358" s="11" t="s">
        <v>68</v>
      </c>
      <c r="E358" s="17" t="s">
        <v>1282</v>
      </c>
      <c r="F358" s="54" t="str">
        <f>_xlfn.DISPIMG("ID_FC9093CD60534B748BC61EBBC71AFF86",1)</f>
        <v>=DISPIMG("ID_FC9093CD60534B748BC61EBBC71AFF86",1)</v>
      </c>
      <c r="G358" s="38" t="s">
        <v>685</v>
      </c>
      <c r="H358" s="38">
        <v>3</v>
      </c>
    </row>
    <row r="359" ht="57" customHeight="1" spans="1:8">
      <c r="A359" s="51" t="s">
        <v>1283</v>
      </c>
      <c r="B359" s="52" t="s">
        <v>1284</v>
      </c>
      <c r="C359" s="56">
        <v>162</v>
      </c>
      <c r="D359" s="11" t="s">
        <v>68</v>
      </c>
      <c r="E359" s="17" t="s">
        <v>1285</v>
      </c>
      <c r="F359" s="54" t="str">
        <f>_xlfn.DISPIMG("ID_C8C72D6BEE654893AB240FD3D6D7D03B",1)</f>
        <v>=DISPIMG("ID_C8C72D6BEE654893AB240FD3D6D7D03B",1)</v>
      </c>
      <c r="G359" s="38" t="s">
        <v>44</v>
      </c>
      <c r="H359" s="38">
        <v>4</v>
      </c>
    </row>
    <row r="360" ht="57" customHeight="1" spans="1:8">
      <c r="A360" s="14" t="s">
        <v>1286</v>
      </c>
      <c r="B360" s="14" t="s">
        <v>1287</v>
      </c>
      <c r="C360" s="57" t="s">
        <v>1288</v>
      </c>
      <c r="D360" s="14" t="s">
        <v>12</v>
      </c>
      <c r="E360" s="14" t="s">
        <v>1289</v>
      </c>
      <c r="F360" s="54" t="str">
        <f>_xlfn.DISPIMG("ID_7F3126D3700949FF9224C4C2C923DCAF",1)</f>
        <v>=DISPIMG("ID_7F3126D3700949FF9224C4C2C923DCAF",1)</v>
      </c>
      <c r="G360" s="14" t="s">
        <v>14</v>
      </c>
      <c r="H360" s="11">
        <v>6</v>
      </c>
    </row>
    <row r="361" ht="57" customHeight="1" spans="1:8">
      <c r="A361" s="51" t="s">
        <v>1290</v>
      </c>
      <c r="B361" s="52" t="s">
        <v>1291</v>
      </c>
      <c r="C361" s="52" t="s">
        <v>1292</v>
      </c>
      <c r="D361" s="11" t="s">
        <v>68</v>
      </c>
      <c r="E361" s="52" t="s">
        <v>469</v>
      </c>
      <c r="F361" s="54" t="str">
        <f>_xlfn.DISPIMG("ID_33735710D3534BFFB5D6320BB8F29EC9",1)</f>
        <v>=DISPIMG("ID_33735710D3534BFFB5D6320BB8F29EC9",1)</v>
      </c>
      <c r="G361" s="38" t="s">
        <v>14</v>
      </c>
      <c r="H361" s="38">
        <v>8</v>
      </c>
    </row>
    <row r="362" ht="57" customHeight="1" spans="1:8">
      <c r="A362" s="51" t="s">
        <v>1293</v>
      </c>
      <c r="B362" s="52" t="s">
        <v>1291</v>
      </c>
      <c r="C362" s="52" t="s">
        <v>1292</v>
      </c>
      <c r="D362" s="11" t="s">
        <v>68</v>
      </c>
      <c r="E362" s="52" t="s">
        <v>469</v>
      </c>
      <c r="F362" s="54" t="str">
        <f>_xlfn.DISPIMG("ID_71D7BAE7928A461B956B51E727CE73C8",1)</f>
        <v>=DISPIMG("ID_71D7BAE7928A461B956B51E727CE73C8",1)</v>
      </c>
      <c r="G362" s="38" t="s">
        <v>14</v>
      </c>
      <c r="H362" s="38">
        <v>12</v>
      </c>
    </row>
    <row r="363" ht="57" customHeight="1" spans="1:8">
      <c r="A363" s="51" t="s">
        <v>1294</v>
      </c>
      <c r="B363" s="52" t="s">
        <v>1291</v>
      </c>
      <c r="C363" s="52" t="s">
        <v>1292</v>
      </c>
      <c r="D363" s="11" t="s">
        <v>12</v>
      </c>
      <c r="E363" s="17" t="s">
        <v>1295</v>
      </c>
      <c r="F363" s="54" t="str">
        <f>_xlfn.DISPIMG("ID_89A08CD77A9442BDB4D9C209056E0B57",1)</f>
        <v>=DISPIMG("ID_89A08CD77A9442BDB4D9C209056E0B57",1)</v>
      </c>
      <c r="G363" s="38" t="s">
        <v>14</v>
      </c>
      <c r="H363" s="38">
        <v>8</v>
      </c>
    </row>
    <row r="364" ht="57" customHeight="1" spans="1:8">
      <c r="A364" s="11" t="s">
        <v>1296</v>
      </c>
      <c r="B364" s="52" t="s">
        <v>1297</v>
      </c>
      <c r="C364" s="56" t="s">
        <v>1298</v>
      </c>
      <c r="D364" s="11" t="s">
        <v>12</v>
      </c>
      <c r="E364" s="17" t="s">
        <v>1295</v>
      </c>
      <c r="F364" s="54" t="str">
        <f>_xlfn.DISPIMG("ID_FF8FC1AB78FB430BBEB3B843020E11B1",1)</f>
        <v>=DISPIMG("ID_FF8FC1AB78FB430BBEB3B843020E11B1",1)</v>
      </c>
      <c r="G364" s="38" t="s">
        <v>14</v>
      </c>
      <c r="H364" s="38">
        <v>6</v>
      </c>
    </row>
    <row r="365" ht="57" customHeight="1" spans="1:8">
      <c r="A365" s="51" t="s">
        <v>1299</v>
      </c>
      <c r="B365" s="52" t="s">
        <v>1300</v>
      </c>
      <c r="C365" s="56" t="s">
        <v>1301</v>
      </c>
      <c r="D365" s="11" t="s">
        <v>12</v>
      </c>
      <c r="E365" s="11" t="s">
        <v>1302</v>
      </c>
      <c r="F365" s="54" t="str">
        <f>_xlfn.DISPIMG("ID_7CA9100BC1224856A163114611C4B220",1)</f>
        <v>=DISPIMG("ID_7CA9100BC1224856A163114611C4B220",1)</v>
      </c>
      <c r="G365" s="38" t="s">
        <v>44</v>
      </c>
      <c r="H365" s="38">
        <v>3</v>
      </c>
    </row>
    <row r="366" ht="57" customHeight="1" spans="1:8">
      <c r="A366" s="11" t="s">
        <v>1303</v>
      </c>
      <c r="B366" s="11" t="s">
        <v>1304</v>
      </c>
      <c r="C366" s="56">
        <v>2822</v>
      </c>
      <c r="D366" s="11" t="s">
        <v>12</v>
      </c>
      <c r="E366" s="11" t="s">
        <v>1305</v>
      </c>
      <c r="F366" s="54" t="str">
        <f>_xlfn.DISPIMG("ID_9F6F09A2686B4485B94F86B8341C5408",1)</f>
        <v>=DISPIMG("ID_9F6F09A2686B4485B94F86B8341C5408",1)</v>
      </c>
      <c r="G366" s="38" t="s">
        <v>44</v>
      </c>
      <c r="H366" s="38">
        <v>2</v>
      </c>
    </row>
    <row r="367" s="1" customFormat="1" ht="57" customHeight="1" spans="1:8">
      <c r="A367" s="14" t="s">
        <v>1306</v>
      </c>
      <c r="B367" s="52" t="s">
        <v>1307</v>
      </c>
      <c r="C367" s="56" t="s">
        <v>1308</v>
      </c>
      <c r="D367" s="11" t="s">
        <v>12</v>
      </c>
      <c r="E367" s="11" t="s">
        <v>1309</v>
      </c>
      <c r="F367" s="54" t="str">
        <f>_xlfn.DISPIMG("ID_A3A0E4818DF845F1B2A9024C1005B2CA",1)</f>
        <v>=DISPIMG("ID_A3A0E4818DF845F1B2A9024C1005B2CA",1)</v>
      </c>
      <c r="G367" s="17" t="s">
        <v>14</v>
      </c>
      <c r="H367" s="17">
        <v>12</v>
      </c>
    </row>
    <row r="368" ht="57" customHeight="1" spans="1:8">
      <c r="A368" s="14" t="s">
        <v>1310</v>
      </c>
      <c r="B368" s="14" t="s">
        <v>1311</v>
      </c>
      <c r="C368" s="57" t="s">
        <v>1312</v>
      </c>
      <c r="D368" s="14" t="s">
        <v>12</v>
      </c>
      <c r="E368" s="14" t="s">
        <v>1313</v>
      </c>
      <c r="F368" s="54" t="str">
        <f>_xlfn.DISPIMG("ID_1621380F6FE94AFA985563B5EE33F5BC",1)</f>
        <v>=DISPIMG("ID_1621380F6FE94AFA985563B5EE33F5BC",1)</v>
      </c>
      <c r="G368" s="14" t="s">
        <v>14</v>
      </c>
      <c r="H368" s="11">
        <v>7</v>
      </c>
    </row>
    <row r="369" ht="57" customHeight="1" spans="1:8">
      <c r="A369" s="14" t="s">
        <v>1314</v>
      </c>
      <c r="B369" s="14" t="s">
        <v>1315</v>
      </c>
      <c r="C369" s="12" t="s">
        <v>1316</v>
      </c>
      <c r="D369" s="14" t="s">
        <v>12</v>
      </c>
      <c r="E369" s="14" t="s">
        <v>1317</v>
      </c>
      <c r="F369" s="54" t="str">
        <f>_xlfn.DISPIMG("ID_182D90484D5149E99E9254AFF246163E",1)</f>
        <v>=DISPIMG("ID_182D90484D5149E99E9254AFF246163E",1)</v>
      </c>
      <c r="G369" s="14" t="s">
        <v>44</v>
      </c>
      <c r="H369" s="11">
        <v>6</v>
      </c>
    </row>
    <row r="370" ht="57" customHeight="1" spans="1:8">
      <c r="A370" s="6" t="s">
        <v>1318</v>
      </c>
      <c r="B370" s="6" t="s">
        <v>1319</v>
      </c>
      <c r="C370" s="58" t="s">
        <v>1320</v>
      </c>
      <c r="D370" s="6" t="s">
        <v>12</v>
      </c>
      <c r="E370" s="6" t="s">
        <v>1321</v>
      </c>
      <c r="F370" s="54" t="str">
        <f>_xlfn.DISPIMG("ID_943CBD44E201486FA4BDAED3554397F2",1)</f>
        <v>=DISPIMG("ID_943CBD44E201486FA4BDAED3554397F2",1)</v>
      </c>
      <c r="G370" s="6" t="s">
        <v>44</v>
      </c>
      <c r="H370" s="17">
        <v>6</v>
      </c>
    </row>
    <row r="371" ht="57" customHeight="1" spans="1:8">
      <c r="A371" s="6" t="s">
        <v>1322</v>
      </c>
      <c r="B371" s="6" t="s">
        <v>1323</v>
      </c>
      <c r="C371" s="92" t="s">
        <v>1324</v>
      </c>
      <c r="D371" s="6" t="s">
        <v>1325</v>
      </c>
      <c r="E371" s="6" t="s">
        <v>1326</v>
      </c>
      <c r="F371" s="54" t="str">
        <f>_xlfn.DISPIMG("ID_C6138764112C46BE84951FA7C0C0C970",1)</f>
        <v>=DISPIMG("ID_C6138764112C46BE84951FA7C0C0C970",1)</v>
      </c>
      <c r="G371" s="6" t="s">
        <v>44</v>
      </c>
      <c r="H371" s="17">
        <v>6</v>
      </c>
    </row>
    <row r="372" ht="57" customHeight="1" spans="1:8">
      <c r="A372" s="51" t="s">
        <v>1327</v>
      </c>
      <c r="B372" s="52" t="s">
        <v>1328</v>
      </c>
      <c r="C372" s="56">
        <v>114</v>
      </c>
      <c r="D372" s="11" t="s">
        <v>1329</v>
      </c>
      <c r="E372" s="6" t="s">
        <v>1330</v>
      </c>
      <c r="F372" s="54" t="str">
        <f>_xlfn.DISPIMG("ID_B423BE2C17D24D08A3A86D6BD6553992",1)</f>
        <v>=DISPIMG("ID_B423BE2C17D24D08A3A86D6BD6553992",1)</v>
      </c>
      <c r="G372" s="38" t="s">
        <v>44</v>
      </c>
      <c r="H372" s="38">
        <v>4</v>
      </c>
    </row>
    <row r="373" ht="57" customHeight="1" spans="1:8">
      <c r="A373" s="14" t="s">
        <v>1331</v>
      </c>
      <c r="B373" s="14" t="s">
        <v>1332</v>
      </c>
      <c r="C373" s="57">
        <v>994</v>
      </c>
      <c r="D373" s="14" t="s">
        <v>1333</v>
      </c>
      <c r="E373" s="14" t="s">
        <v>1334</v>
      </c>
      <c r="F373" s="54" t="str">
        <f>_xlfn.DISPIMG("ID_2FA0F5ACE97A40DD8884EFE4954A19C2",1)</f>
        <v>=DISPIMG("ID_2FA0F5ACE97A40DD8884EFE4954A19C2",1)</v>
      </c>
      <c r="G373" s="14" t="s">
        <v>44</v>
      </c>
      <c r="H373" s="11">
        <v>6</v>
      </c>
    </row>
    <row r="374" ht="57" customHeight="1" spans="1:8">
      <c r="A374" s="11" t="s">
        <v>1335</v>
      </c>
      <c r="B374" s="52" t="s">
        <v>1336</v>
      </c>
      <c r="C374" s="56" t="s">
        <v>1337</v>
      </c>
      <c r="D374" s="52" t="s">
        <v>1338</v>
      </c>
      <c r="E374" s="17" t="s">
        <v>1339</v>
      </c>
      <c r="F374" s="54" t="str">
        <f>_xlfn.DISPIMG("ID_2F7F00C227824157BD59FC0A097B5EC9",1)</f>
        <v>=DISPIMG("ID_2F7F00C227824157BD59FC0A097B5EC9",1)</v>
      </c>
      <c r="G374" s="38" t="s">
        <v>14</v>
      </c>
      <c r="H374" s="38">
        <v>2</v>
      </c>
    </row>
    <row r="375" ht="57" customHeight="1" spans="1:8">
      <c r="A375" s="51" t="s">
        <v>1340</v>
      </c>
      <c r="B375" s="52" t="s">
        <v>1341</v>
      </c>
      <c r="C375" s="59" t="s">
        <v>1342</v>
      </c>
      <c r="D375" s="52" t="s">
        <v>1194</v>
      </c>
      <c r="E375" s="6" t="s">
        <v>1343</v>
      </c>
      <c r="F375" s="54" t="str">
        <f>_xlfn.DISPIMG("ID_85E8776DA1C84C84838ADC4D9D23AE58",1)</f>
        <v>=DISPIMG("ID_85E8776DA1C84C84838ADC4D9D23AE58",1)</v>
      </c>
      <c r="G375" s="38" t="s">
        <v>44</v>
      </c>
      <c r="H375" s="38">
        <v>3</v>
      </c>
    </row>
    <row r="376" ht="57" customHeight="1" spans="1:8">
      <c r="A376" s="11" t="s">
        <v>1344</v>
      </c>
      <c r="B376" s="11" t="s">
        <v>1268</v>
      </c>
      <c r="C376" s="55">
        <v>58558</v>
      </c>
      <c r="D376" s="52" t="s">
        <v>1345</v>
      </c>
      <c r="E376" s="6" t="s">
        <v>1346</v>
      </c>
      <c r="F376" s="54" t="str">
        <f>_xlfn.DISPIMG("ID_4A889E053A0648E4A153F41A5D3E5E7A",1)</f>
        <v>=DISPIMG("ID_4A889E053A0648E4A153F41A5D3E5E7A",1)</v>
      </c>
      <c r="G376" s="38" t="s">
        <v>44</v>
      </c>
      <c r="H376" s="38">
        <v>1</v>
      </c>
    </row>
    <row r="377" ht="57" customHeight="1" spans="1:8">
      <c r="A377" s="60" t="s">
        <v>1347</v>
      </c>
      <c r="B377" s="12" t="s">
        <v>19</v>
      </c>
      <c r="C377" s="52" t="s">
        <v>1348</v>
      </c>
      <c r="D377" s="52" t="s">
        <v>12</v>
      </c>
      <c r="E377" s="61" t="s">
        <v>1349</v>
      </c>
      <c r="F377" s="54" t="str">
        <f>_xlfn.DISPIMG("ID_D35B03F4D3D44092AFD615579C362AAB",1)</f>
        <v>=DISPIMG("ID_D35B03F4D3D44092AFD615579C362AAB",1)</v>
      </c>
      <c r="G377" s="38" t="s">
        <v>44</v>
      </c>
      <c r="H377" s="38">
        <v>4</v>
      </c>
    </row>
    <row r="378" ht="57" customHeight="1" spans="1:8">
      <c r="A378" s="38" t="s">
        <v>1350</v>
      </c>
      <c r="B378" s="52" t="s">
        <v>1351</v>
      </c>
      <c r="C378" s="52" t="s">
        <v>1352</v>
      </c>
      <c r="D378" s="52" t="s">
        <v>12</v>
      </c>
      <c r="E378" s="6" t="s">
        <v>1353</v>
      </c>
      <c r="F378" s="54" t="str">
        <f>_xlfn.DISPIMG("ID_313BC3099CC348859D1BDC9604463526",1)</f>
        <v>=DISPIMG("ID_313BC3099CC348859D1BDC9604463526",1)</v>
      </c>
      <c r="G378" s="38" t="s">
        <v>44</v>
      </c>
      <c r="H378" s="38">
        <v>8</v>
      </c>
    </row>
    <row r="379" ht="57" customHeight="1" spans="1:8">
      <c r="A379" s="11" t="s">
        <v>1354</v>
      </c>
      <c r="B379" s="12" t="s">
        <v>1284</v>
      </c>
      <c r="C379" s="57">
        <v>159</v>
      </c>
      <c r="D379" s="52" t="s">
        <v>68</v>
      </c>
      <c r="E379" s="6" t="s">
        <v>1355</v>
      </c>
      <c r="F379" s="54" t="str">
        <f>_xlfn.DISPIMG("ID_9EE13DC1BFF4461DAADEAEA650EBE1DF",1)</f>
        <v>=DISPIMG("ID_9EE13DC1BFF4461DAADEAEA650EBE1DF",1)</v>
      </c>
      <c r="G379" s="38" t="s">
        <v>685</v>
      </c>
      <c r="H379" s="38">
        <v>4</v>
      </c>
    </row>
    <row r="380" ht="57" customHeight="1" spans="1:8">
      <c r="A380" s="38" t="s">
        <v>1356</v>
      </c>
      <c r="B380" s="11" t="s">
        <v>1357</v>
      </c>
      <c r="C380" s="55">
        <v>3486</v>
      </c>
      <c r="D380" s="52" t="s">
        <v>12</v>
      </c>
      <c r="E380" s="6" t="s">
        <v>1358</v>
      </c>
      <c r="F380" s="54" t="str">
        <f>_xlfn.DISPIMG("ID_35F1FFDC1D8C4F8CB68A0FBCA704B1C9",1)</f>
        <v>=DISPIMG("ID_35F1FFDC1D8C4F8CB68A0FBCA704B1C9",1)</v>
      </c>
      <c r="G380" s="38" t="s">
        <v>44</v>
      </c>
      <c r="H380" s="38">
        <v>2</v>
      </c>
    </row>
    <row r="381" ht="57" customHeight="1" spans="1:8">
      <c r="A381" s="11" t="s">
        <v>1359</v>
      </c>
      <c r="B381" s="38" t="s">
        <v>1360</v>
      </c>
      <c r="C381" s="55" t="s">
        <v>1361</v>
      </c>
      <c r="D381" s="52" t="s">
        <v>12</v>
      </c>
      <c r="E381" s="6" t="s">
        <v>1362</v>
      </c>
      <c r="F381" s="54" t="str">
        <f>_xlfn.DISPIMG("ID_AF96A4E336EC4A78B82C698DECF92E44",1)</f>
        <v>=DISPIMG("ID_AF96A4E336EC4A78B82C698DECF92E44",1)</v>
      </c>
      <c r="G381" s="38" t="s">
        <v>44</v>
      </c>
      <c r="H381" s="38">
        <v>2</v>
      </c>
    </row>
    <row r="382" ht="57" customHeight="1" spans="1:8">
      <c r="A382" s="60" t="s">
        <v>1363</v>
      </c>
      <c r="B382" s="12" t="s">
        <v>1364</v>
      </c>
      <c r="C382" s="12" t="s">
        <v>1365</v>
      </c>
      <c r="D382" s="11" t="s">
        <v>1333</v>
      </c>
      <c r="E382" s="11" t="s">
        <v>1366</v>
      </c>
      <c r="F382" s="54" t="str">
        <f>_xlfn.DISPIMG("ID_3D53ED998F7746689AE5044C28086F36",1)</f>
        <v>=DISPIMG("ID_3D53ED998F7746689AE5044C28086F36",1)</v>
      </c>
      <c r="G382" s="38" t="s">
        <v>44</v>
      </c>
      <c r="H382" s="38">
        <v>2</v>
      </c>
    </row>
    <row r="383" ht="57" customHeight="1" spans="1:8">
      <c r="A383" s="38" t="s">
        <v>1367</v>
      </c>
      <c r="B383" s="11" t="s">
        <v>19</v>
      </c>
      <c r="C383" s="57" t="s">
        <v>1368</v>
      </c>
      <c r="D383" s="11" t="s">
        <v>12</v>
      </c>
      <c r="E383" s="11" t="s">
        <v>1369</v>
      </c>
      <c r="F383" s="54" t="str">
        <f>_xlfn.DISPIMG("ID_CF76A47097BC44748CF5C06765E57F78",1)</f>
        <v>=DISPIMG("ID_CF76A47097BC44748CF5C06765E57F78",1)</v>
      </c>
      <c r="G383" s="38" t="s">
        <v>44</v>
      </c>
      <c r="H383" s="38">
        <v>2</v>
      </c>
    </row>
    <row r="384" ht="57" customHeight="1" spans="1:8">
      <c r="A384" s="60" t="s">
        <v>1370</v>
      </c>
      <c r="B384" s="11" t="s">
        <v>19</v>
      </c>
      <c r="C384" s="62" t="s">
        <v>1371</v>
      </c>
      <c r="D384" s="11" t="s">
        <v>68</v>
      </c>
      <c r="E384" s="11" t="s">
        <v>1372</v>
      </c>
      <c r="F384" s="54" t="str">
        <f>_xlfn.DISPIMG("ID_400B1BE3D26641B2A0756AFC2357743B",1)</f>
        <v>=DISPIMG("ID_400B1BE3D26641B2A0756AFC2357743B",1)</v>
      </c>
      <c r="G384" s="38" t="s">
        <v>44</v>
      </c>
      <c r="H384" s="38">
        <v>2</v>
      </c>
    </row>
    <row r="385" ht="57" customHeight="1" spans="1:8">
      <c r="A385" s="60" t="s">
        <v>1373</v>
      </c>
      <c r="B385" s="11" t="s">
        <v>19</v>
      </c>
      <c r="C385" s="62" t="s">
        <v>1374</v>
      </c>
      <c r="D385" s="11" t="s">
        <v>48</v>
      </c>
      <c r="E385" s="11" t="s">
        <v>1375</v>
      </c>
      <c r="F385" s="54" t="str">
        <f>_xlfn.DISPIMG("ID_7AA304DC5BF341768090A57972298450",1)</f>
        <v>=DISPIMG("ID_7AA304DC5BF341768090A57972298450",1)</v>
      </c>
      <c r="G385" s="38" t="s">
        <v>44</v>
      </c>
      <c r="H385" s="38">
        <v>2</v>
      </c>
    </row>
    <row r="386" ht="57" customHeight="1" spans="1:8">
      <c r="A386" s="63" t="s">
        <v>1376</v>
      </c>
      <c r="B386" s="11" t="s">
        <v>19</v>
      </c>
      <c r="C386" s="64" t="s">
        <v>1377</v>
      </c>
      <c r="D386" s="11" t="s">
        <v>1378</v>
      </c>
      <c r="E386" s="11" t="s">
        <v>1379</v>
      </c>
      <c r="F386" s="54" t="str">
        <f>_xlfn.DISPIMG("ID_2C61B8C46D00478B8140E2AE0D190DC1",1)</f>
        <v>=DISPIMG("ID_2C61B8C46D00478B8140E2AE0D190DC1",1)</v>
      </c>
      <c r="G386" s="38" t="s">
        <v>44</v>
      </c>
      <c r="H386" s="38">
        <v>2</v>
      </c>
    </row>
    <row r="387" ht="57" customHeight="1" spans="1:8">
      <c r="A387" s="38" t="s">
        <v>1380</v>
      </c>
      <c r="B387" s="11" t="s">
        <v>638</v>
      </c>
      <c r="C387" s="55" t="s">
        <v>638</v>
      </c>
      <c r="D387" s="11" t="s">
        <v>1381</v>
      </c>
      <c r="E387" s="11" t="s">
        <v>1382</v>
      </c>
      <c r="F387" s="54" t="str">
        <f>_xlfn.DISPIMG("ID_B2AFE28D54574C0AAD8DA683B1C914F3",1)</f>
        <v>=DISPIMG("ID_B2AFE28D54574C0AAD8DA683B1C914F3",1)</v>
      </c>
      <c r="G387" s="38" t="s">
        <v>44</v>
      </c>
      <c r="H387" s="38">
        <v>2</v>
      </c>
    </row>
    <row r="388" ht="57" customHeight="1" spans="1:8">
      <c r="A388" s="38" t="s">
        <v>1383</v>
      </c>
      <c r="B388" s="11" t="s">
        <v>638</v>
      </c>
      <c r="C388" s="55" t="s">
        <v>638</v>
      </c>
      <c r="D388" s="11" t="s">
        <v>1381</v>
      </c>
      <c r="E388" s="11" t="s">
        <v>1382</v>
      </c>
      <c r="F388" s="54" t="str">
        <f>_xlfn.DISPIMG("ID_2B0883A9FCA84C8EA9A3A5946BAFAB64",1)</f>
        <v>=DISPIMG("ID_2B0883A9FCA84C8EA9A3A5946BAFAB64",1)</v>
      </c>
      <c r="G388" s="38" t="s">
        <v>44</v>
      </c>
      <c r="H388" s="38">
        <v>2</v>
      </c>
    </row>
    <row r="389" ht="57" customHeight="1" spans="1:8">
      <c r="A389" s="51" t="s">
        <v>1384</v>
      </c>
      <c r="B389" s="52" t="s">
        <v>1385</v>
      </c>
      <c r="C389" s="56" t="s">
        <v>1386</v>
      </c>
      <c r="D389" s="11" t="s">
        <v>1381</v>
      </c>
      <c r="E389" s="11" t="s">
        <v>1382</v>
      </c>
      <c r="F389" s="54" t="str">
        <f>_xlfn.DISPIMG("ID_378F2A3E4DAD48E49DA823C09FECEA09",1)</f>
        <v>=DISPIMG("ID_378F2A3E4DAD48E49DA823C09FECEA09",1)</v>
      </c>
      <c r="G389" s="38" t="s">
        <v>44</v>
      </c>
      <c r="H389" s="38">
        <v>3</v>
      </c>
    </row>
    <row r="390" ht="57" customHeight="1" spans="1:8">
      <c r="A390" s="51" t="s">
        <v>1387</v>
      </c>
      <c r="B390" s="52" t="s">
        <v>1385</v>
      </c>
      <c r="C390" s="56" t="s">
        <v>1386</v>
      </c>
      <c r="D390" s="11" t="s">
        <v>1381</v>
      </c>
      <c r="E390" s="11" t="s">
        <v>1382</v>
      </c>
      <c r="F390" s="54" t="str">
        <f>_xlfn.DISPIMG("ID_99406B2B46964D3CB01AF2029AF2C577",1)</f>
        <v>=DISPIMG("ID_99406B2B46964D3CB01AF2029AF2C577",1)</v>
      </c>
      <c r="G390" s="38" t="s">
        <v>44</v>
      </c>
      <c r="H390" s="38">
        <v>3</v>
      </c>
    </row>
    <row r="391" ht="57" customHeight="1" spans="1:8">
      <c r="A391" s="6" t="s">
        <v>1388</v>
      </c>
      <c r="B391" s="52" t="s">
        <v>1389</v>
      </c>
      <c r="C391" s="56" t="s">
        <v>1390</v>
      </c>
      <c r="D391" s="11" t="s">
        <v>1381</v>
      </c>
      <c r="E391" s="11" t="s">
        <v>1382</v>
      </c>
      <c r="F391" s="54" t="str">
        <f>_xlfn.DISPIMG("ID_51E4F6B6AED647778FE5D4690DD187C0",1)</f>
        <v>=DISPIMG("ID_51E4F6B6AED647778FE5D4690DD187C0",1)</v>
      </c>
      <c r="G391" s="38" t="s">
        <v>44</v>
      </c>
      <c r="H391" s="38">
        <v>3</v>
      </c>
    </row>
    <row r="392" ht="57" customHeight="1" spans="1:8">
      <c r="A392" s="6" t="s">
        <v>1391</v>
      </c>
      <c r="B392" s="52" t="s">
        <v>1389</v>
      </c>
      <c r="C392" s="56" t="s">
        <v>1390</v>
      </c>
      <c r="D392" s="11" t="s">
        <v>1381</v>
      </c>
      <c r="E392" s="11" t="s">
        <v>1382</v>
      </c>
      <c r="F392" s="54" t="str">
        <f>_xlfn.DISPIMG("ID_4DCA01FEE1414814968ED30FC18FF63D",1)</f>
        <v>=DISPIMG("ID_4DCA01FEE1414814968ED30FC18FF63D",1)</v>
      </c>
      <c r="G392" s="38" t="s">
        <v>44</v>
      </c>
      <c r="H392" s="38">
        <v>3</v>
      </c>
    </row>
    <row r="393" ht="57" customHeight="1" spans="1:8">
      <c r="A393" s="11" t="s">
        <v>1392</v>
      </c>
      <c r="B393" s="11" t="s">
        <v>638</v>
      </c>
      <c r="C393" s="56" t="s">
        <v>1393</v>
      </c>
      <c r="D393" s="11" t="s">
        <v>12</v>
      </c>
      <c r="E393" s="11" t="s">
        <v>1394</v>
      </c>
      <c r="F393" s="54" t="str">
        <f>_xlfn.DISPIMG("ID_94D48C3C425A4AACB0A7EFA6AF18EF83",1)</f>
        <v>=DISPIMG("ID_94D48C3C425A4AACB0A7EFA6AF18EF83",1)</v>
      </c>
      <c r="G393" s="38" t="s">
        <v>14</v>
      </c>
      <c r="H393" s="38">
        <v>7</v>
      </c>
    </row>
    <row r="394" ht="57" customHeight="1" spans="1:8">
      <c r="A394" s="11" t="s">
        <v>1395</v>
      </c>
      <c r="B394" s="11" t="s">
        <v>1396</v>
      </c>
      <c r="C394" s="65" t="s">
        <v>801</v>
      </c>
      <c r="D394" s="11" t="s">
        <v>1397</v>
      </c>
      <c r="E394" s="11" t="s">
        <v>1398</v>
      </c>
      <c r="F394" s="54" t="str">
        <f>_xlfn.DISPIMG("ID_141BCBB9DF8B40788B03D63706377D51",1)</f>
        <v>=DISPIMG("ID_141BCBB9DF8B40788B03D63706377D51",1)</v>
      </c>
      <c r="G394" s="38" t="s">
        <v>14</v>
      </c>
      <c r="H394" s="38">
        <v>20</v>
      </c>
    </row>
    <row r="395" ht="57" customHeight="1" spans="1:8">
      <c r="A395" s="11" t="s">
        <v>1399</v>
      </c>
      <c r="B395" s="52" t="s">
        <v>1022</v>
      </c>
      <c r="C395" s="52" t="s">
        <v>1400</v>
      </c>
      <c r="D395" s="11" t="s">
        <v>345</v>
      </c>
      <c r="E395" s="11" t="s">
        <v>1401</v>
      </c>
      <c r="F395" s="54" t="str">
        <f>_xlfn.DISPIMG("ID_F4356CEA421F4002845B5E6BBB5C2777",1)</f>
        <v>=DISPIMG("ID_F4356CEA421F4002845B5E6BBB5C2777",1)</v>
      </c>
      <c r="G395" s="38" t="s">
        <v>14</v>
      </c>
      <c r="H395" s="17">
        <v>32</v>
      </c>
    </row>
    <row r="396" ht="57" customHeight="1" spans="1:8">
      <c r="A396" s="11" t="s">
        <v>1402</v>
      </c>
      <c r="B396" s="11" t="s">
        <v>1297</v>
      </c>
      <c r="C396" s="52" t="s">
        <v>1403</v>
      </c>
      <c r="D396" s="11" t="s">
        <v>12</v>
      </c>
      <c r="E396" s="11" t="s">
        <v>1404</v>
      </c>
      <c r="F396" s="54" t="str">
        <f>_xlfn.DISPIMG("ID_6DA0CF52F64D4689ACCA985557F84D7F",1)</f>
        <v>=DISPIMG("ID_6DA0CF52F64D4689ACCA985557F84D7F",1)</v>
      </c>
      <c r="G396" s="38" t="s">
        <v>14</v>
      </c>
      <c r="H396" s="17">
        <v>60</v>
      </c>
    </row>
    <row r="397" ht="57" customHeight="1" spans="1:8">
      <c r="A397" s="6" t="s">
        <v>1405</v>
      </c>
      <c r="B397" s="11" t="s">
        <v>1406</v>
      </c>
      <c r="C397" s="65" t="s">
        <v>801</v>
      </c>
      <c r="D397" s="11" t="s">
        <v>345</v>
      </c>
      <c r="E397" s="11" t="s">
        <v>1407</v>
      </c>
      <c r="F397" s="54" t="str">
        <f>_xlfn.DISPIMG("ID_A8135A0BD8DE48108C4EEAF9D0F8636B",1)</f>
        <v>=DISPIMG("ID_A8135A0BD8DE48108C4EEAF9D0F8636B",1)</v>
      </c>
      <c r="G397" s="38" t="s">
        <v>14</v>
      </c>
      <c r="H397" s="17">
        <v>32</v>
      </c>
    </row>
    <row r="398" ht="57" customHeight="1" spans="1:8">
      <c r="A398" s="17" t="s">
        <v>1408</v>
      </c>
      <c r="B398" s="11" t="s">
        <v>1409</v>
      </c>
      <c r="C398" s="65" t="s">
        <v>801</v>
      </c>
      <c r="D398" s="11" t="s">
        <v>345</v>
      </c>
      <c r="E398" s="11" t="s">
        <v>1410</v>
      </c>
      <c r="F398" s="54" t="str">
        <f>_xlfn.DISPIMG("ID_7FF3A64735F84C7A86C46F2453CEE7D1",1)</f>
        <v>=DISPIMG("ID_7FF3A64735F84C7A86C46F2453CEE7D1",1)</v>
      </c>
      <c r="G398" s="38" t="s">
        <v>14</v>
      </c>
      <c r="H398" s="17">
        <v>32</v>
      </c>
    </row>
    <row r="399" ht="57" customHeight="1" spans="1:8">
      <c r="A399" s="17" t="s">
        <v>1411</v>
      </c>
      <c r="B399" s="11" t="s">
        <v>1268</v>
      </c>
      <c r="C399" s="52" t="s">
        <v>1412</v>
      </c>
      <c r="D399" s="11" t="s">
        <v>911</v>
      </c>
      <c r="E399" s="11" t="s">
        <v>1413</v>
      </c>
      <c r="F399" s="54" t="str">
        <f>_xlfn.DISPIMG("ID_762A790AE49840FC9A5575E5E829593D",1)</f>
        <v>=DISPIMG("ID_762A790AE49840FC9A5575E5E829593D",1)</v>
      </c>
      <c r="G399" s="38" t="s">
        <v>14</v>
      </c>
      <c r="H399" s="17">
        <v>26</v>
      </c>
    </row>
    <row r="400" ht="57" customHeight="1" spans="1:8">
      <c r="A400" s="17" t="s">
        <v>1414</v>
      </c>
      <c r="B400" s="52" t="s">
        <v>1415</v>
      </c>
      <c r="C400" s="52" t="s">
        <v>1416</v>
      </c>
      <c r="D400" s="11" t="s">
        <v>911</v>
      </c>
      <c r="E400" s="11" t="s">
        <v>1417</v>
      </c>
      <c r="F400" s="54" t="str">
        <f>_xlfn.DISPIMG("ID_4E34917E4DB44628B2A2C341A9FAA31B",1)</f>
        <v>=DISPIMG("ID_4E34917E4DB44628B2A2C341A9FAA31B",1)</v>
      </c>
      <c r="G400" s="38" t="s">
        <v>14</v>
      </c>
      <c r="H400" s="17">
        <v>20</v>
      </c>
    </row>
    <row r="401" ht="57" customHeight="1" spans="1:8">
      <c r="A401" s="66" t="s">
        <v>1418</v>
      </c>
      <c r="B401" s="52" t="s">
        <v>1419</v>
      </c>
      <c r="C401" s="52">
        <v>91987</v>
      </c>
      <c r="D401" s="11" t="s">
        <v>12</v>
      </c>
      <c r="E401" s="11" t="s">
        <v>1420</v>
      </c>
      <c r="F401" s="54" t="str">
        <f>_xlfn.DISPIMG("ID_89C9581F4A0748CAAE02ECEE5B7002B7",1)</f>
        <v>=DISPIMG("ID_89C9581F4A0748CAAE02ECEE5B7002B7",1)</v>
      </c>
      <c r="G401" s="38" t="s">
        <v>14</v>
      </c>
      <c r="H401" s="17">
        <v>60</v>
      </c>
    </row>
    <row r="402" ht="57" customHeight="1" spans="1:8">
      <c r="A402" s="6" t="s">
        <v>1421</v>
      </c>
      <c r="B402" s="52" t="s">
        <v>1422</v>
      </c>
      <c r="C402" s="52">
        <v>806080</v>
      </c>
      <c r="D402" s="11" t="s">
        <v>12</v>
      </c>
      <c r="E402" s="11" t="s">
        <v>1423</v>
      </c>
      <c r="F402" s="54" t="str">
        <f>_xlfn.DISPIMG("ID_9EE628BF329E4D9E9C51B828FAB1E0E1",1)</f>
        <v>=DISPIMG("ID_9EE628BF329E4D9E9C51B828FAB1E0E1",1)</v>
      </c>
      <c r="G402" s="38" t="s">
        <v>14</v>
      </c>
      <c r="H402" s="17">
        <v>60</v>
      </c>
    </row>
    <row r="403" ht="57" customHeight="1" spans="1:8">
      <c r="A403" s="17" t="s">
        <v>1424</v>
      </c>
      <c r="B403" s="52" t="s">
        <v>1422</v>
      </c>
      <c r="C403" s="52">
        <v>806080</v>
      </c>
      <c r="D403" s="11" t="s">
        <v>12</v>
      </c>
      <c r="E403" s="11" t="s">
        <v>1425</v>
      </c>
      <c r="F403" s="54" t="str">
        <f>_xlfn.DISPIMG("ID_41B52AB3A8FB47298C8A2ECEA9E321B1",1)</f>
        <v>=DISPIMG("ID_41B52AB3A8FB47298C8A2ECEA9E321B1",1)</v>
      </c>
      <c r="G403" s="38" t="s">
        <v>14</v>
      </c>
      <c r="H403" s="17">
        <v>32</v>
      </c>
    </row>
    <row r="404" ht="57" customHeight="1" spans="1:8">
      <c r="A404" s="6" t="s">
        <v>1426</v>
      </c>
      <c r="B404" s="52" t="s">
        <v>1427</v>
      </c>
      <c r="C404" s="52" t="s">
        <v>1428</v>
      </c>
      <c r="D404" s="11" t="s">
        <v>911</v>
      </c>
      <c r="E404" s="11" t="s">
        <v>1429</v>
      </c>
      <c r="F404" s="54" t="str">
        <f>_xlfn.DISPIMG("ID_222D1E4A9A4543D1AE5FE8EF27FEA7D5",1)</f>
        <v>=DISPIMG("ID_222D1E4A9A4543D1AE5FE8EF27FEA7D5",1)</v>
      </c>
      <c r="G404" s="38" t="s">
        <v>14</v>
      </c>
      <c r="H404" s="17">
        <v>40</v>
      </c>
    </row>
    <row r="405" ht="57" customHeight="1" spans="1:8">
      <c r="A405" s="6" t="s">
        <v>1430</v>
      </c>
      <c r="B405" s="52" t="s">
        <v>1427</v>
      </c>
      <c r="C405" s="52" t="s">
        <v>1431</v>
      </c>
      <c r="D405" s="11" t="s">
        <v>911</v>
      </c>
      <c r="E405" s="11" t="s">
        <v>1432</v>
      </c>
      <c r="F405" s="54" t="str">
        <f>_xlfn.DISPIMG("ID_B967A45CA9774AC88E39BFE5727CE630",1)</f>
        <v>=DISPIMG("ID_B967A45CA9774AC88E39BFE5727CE630",1)</v>
      </c>
      <c r="G405" s="38" t="s">
        <v>44</v>
      </c>
      <c r="H405" s="17">
        <v>5</v>
      </c>
    </row>
    <row r="406" ht="57" customHeight="1" spans="1:8">
      <c r="A406" s="6" t="s">
        <v>1433</v>
      </c>
      <c r="B406" s="52" t="s">
        <v>1434</v>
      </c>
      <c r="C406" s="65" t="s">
        <v>801</v>
      </c>
      <c r="D406" s="11" t="s">
        <v>12</v>
      </c>
      <c r="E406" s="11" t="s">
        <v>1435</v>
      </c>
      <c r="F406" s="54" t="str">
        <f>_xlfn.DISPIMG("ID_DB853B285258411EB904096D77CACC73",1)</f>
        <v>=DISPIMG("ID_DB853B285258411EB904096D77CACC73",1)</v>
      </c>
      <c r="G406" s="38" t="s">
        <v>14</v>
      </c>
      <c r="H406" s="17">
        <v>2</v>
      </c>
    </row>
    <row r="407" ht="57" customHeight="1" spans="1:8">
      <c r="A407" s="6" t="s">
        <v>1436</v>
      </c>
      <c r="B407" s="52" t="s">
        <v>1437</v>
      </c>
      <c r="C407" s="65" t="s">
        <v>801</v>
      </c>
      <c r="D407" s="11" t="s">
        <v>12</v>
      </c>
      <c r="E407" s="11" t="s">
        <v>1438</v>
      </c>
      <c r="F407" s="54" t="str">
        <f>_xlfn.DISPIMG("ID_E8C0FFFE097F4A6EBCB98B95559BD5DE",1)</f>
        <v>=DISPIMG("ID_E8C0FFFE097F4A6EBCB98B95559BD5DE",1)</v>
      </c>
      <c r="G407" s="38" t="s">
        <v>14</v>
      </c>
      <c r="H407" s="17">
        <v>2</v>
      </c>
    </row>
    <row r="408" ht="57" customHeight="1" spans="1:8">
      <c r="A408" s="17" t="s">
        <v>1439</v>
      </c>
      <c r="B408" s="52" t="s">
        <v>1440</v>
      </c>
      <c r="C408" s="65" t="s">
        <v>801</v>
      </c>
      <c r="D408" s="11" t="s">
        <v>12</v>
      </c>
      <c r="E408" s="11" t="s">
        <v>1441</v>
      </c>
      <c r="F408" s="54" t="str">
        <f>_xlfn.DISPIMG("ID_E5D5BAF3C999421A9D52E5A6D458883C",1)</f>
        <v>=DISPIMG("ID_E5D5BAF3C999421A9D52E5A6D458883C",1)</v>
      </c>
      <c r="G408" s="38" t="s">
        <v>14</v>
      </c>
      <c r="H408" s="17">
        <v>2</v>
      </c>
    </row>
    <row r="409" ht="57" customHeight="1" spans="1:8">
      <c r="A409" s="17" t="s">
        <v>1442</v>
      </c>
      <c r="B409" s="52" t="s">
        <v>1443</v>
      </c>
      <c r="C409" s="65" t="s">
        <v>801</v>
      </c>
      <c r="D409" s="11" t="s">
        <v>12</v>
      </c>
      <c r="E409" s="11" t="s">
        <v>1444</v>
      </c>
      <c r="F409" s="11" t="str">
        <f>_xlfn.DISPIMG("ID_8412E150EED74CD9894B99ADF740CFC8",1)</f>
        <v>=DISPIMG("ID_8412E150EED74CD9894B99ADF740CFC8",1)</v>
      </c>
      <c r="G409" s="38" t="s">
        <v>44</v>
      </c>
      <c r="H409" s="17">
        <v>3</v>
      </c>
    </row>
    <row r="410" ht="57" customHeight="1" spans="1:8">
      <c r="A410" s="17"/>
      <c r="B410" s="52" t="s">
        <v>1443</v>
      </c>
      <c r="C410" s="65" t="s">
        <v>801</v>
      </c>
      <c r="D410" s="11"/>
      <c r="E410" s="11" t="s">
        <v>1445</v>
      </c>
      <c r="F410" s="11"/>
      <c r="G410" s="38" t="s">
        <v>44</v>
      </c>
      <c r="H410" s="17">
        <v>3</v>
      </c>
    </row>
    <row r="411" ht="57" customHeight="1" spans="1:8">
      <c r="A411" s="6" t="s">
        <v>1446</v>
      </c>
      <c r="B411" s="52" t="s">
        <v>19</v>
      </c>
      <c r="C411" s="52" t="s">
        <v>1447</v>
      </c>
      <c r="D411" s="11" t="s">
        <v>911</v>
      </c>
      <c r="E411" s="11" t="s">
        <v>1448</v>
      </c>
      <c r="F411" s="54" t="str">
        <f>_xlfn.DISPIMG("ID_CC2BE7D0BB934619B8AA5AAB2025C786",1)</f>
        <v>=DISPIMG("ID_CC2BE7D0BB934619B8AA5AAB2025C786",1)</v>
      </c>
      <c r="G411" s="38" t="s">
        <v>44</v>
      </c>
      <c r="H411" s="17">
        <v>8</v>
      </c>
    </row>
    <row r="412" ht="57" customHeight="1" spans="1:8">
      <c r="A412" s="11" t="s">
        <v>1449</v>
      </c>
      <c r="B412" s="52" t="s">
        <v>515</v>
      </c>
      <c r="C412" s="52">
        <v>799</v>
      </c>
      <c r="D412" s="11" t="s">
        <v>68</v>
      </c>
      <c r="E412" s="11" t="s">
        <v>1450</v>
      </c>
      <c r="F412" s="54" t="str">
        <f>_xlfn.DISPIMG("ID_501503B924934F098A8F025ED77FEDBD",1)</f>
        <v>=DISPIMG("ID_501503B924934F098A8F025ED77FEDBD",1)</v>
      </c>
      <c r="G412" s="38" t="s">
        <v>903</v>
      </c>
      <c r="H412" s="17">
        <v>2</v>
      </c>
    </row>
    <row r="413" ht="57" customHeight="1" spans="1:8">
      <c r="A413" s="11" t="s">
        <v>1451</v>
      </c>
      <c r="B413" s="52" t="s">
        <v>515</v>
      </c>
      <c r="C413" s="52">
        <v>799</v>
      </c>
      <c r="D413" s="11" t="s">
        <v>68</v>
      </c>
      <c r="E413" s="11" t="s">
        <v>1452</v>
      </c>
      <c r="F413" s="54" t="str">
        <f>_xlfn.DISPIMG("ID_04A54F4CBCC246ACA85CE78BC1A98615",1)</f>
        <v>=DISPIMG("ID_04A54F4CBCC246ACA85CE78BC1A98615",1)</v>
      </c>
      <c r="G413" s="38" t="s">
        <v>903</v>
      </c>
      <c r="H413" s="17">
        <v>2</v>
      </c>
    </row>
    <row r="414" ht="57" customHeight="1" spans="1:8">
      <c r="A414" s="67" t="s">
        <v>1453</v>
      </c>
      <c r="B414" s="6" t="s">
        <v>1454</v>
      </c>
      <c r="C414" s="19" t="s">
        <v>1455</v>
      </c>
      <c r="D414" s="6" t="s">
        <v>12</v>
      </c>
      <c r="E414" s="6" t="s">
        <v>1456</v>
      </c>
      <c r="F414" s="6" t="str">
        <f>_xlfn.DISPIMG("ID_9F7E625792E44591B225EB631D3332E2",1)</f>
        <v>=DISPIMG("ID_9F7E625792E44591B225EB631D3332E2",1)</v>
      </c>
      <c r="G414" s="6" t="s">
        <v>14</v>
      </c>
      <c r="H414" s="6">
        <v>8</v>
      </c>
    </row>
    <row r="415" ht="57" customHeight="1" spans="1:8">
      <c r="A415" s="20" t="s">
        <v>1457</v>
      </c>
      <c r="B415" s="6" t="s">
        <v>1458</v>
      </c>
      <c r="C415" s="6" t="s">
        <v>1457</v>
      </c>
      <c r="D415" s="6" t="s">
        <v>1207</v>
      </c>
      <c r="E415" s="6" t="s">
        <v>1459</v>
      </c>
      <c r="F415" s="6" t="str">
        <f>_xlfn.DISPIMG("ID_C8CFE12B4BF34A668FCE7776924F82C1",1)</f>
        <v>=DISPIMG("ID_C8CFE12B4BF34A668FCE7776924F82C1",1)</v>
      </c>
      <c r="G415" s="6" t="s">
        <v>14</v>
      </c>
      <c r="H415" s="6">
        <v>2</v>
      </c>
    </row>
    <row r="416" ht="57" customHeight="1" spans="1:8">
      <c r="A416" s="20" t="s">
        <v>1460</v>
      </c>
      <c r="B416" s="6" t="s">
        <v>1461</v>
      </c>
      <c r="C416" s="6" t="s">
        <v>1462</v>
      </c>
      <c r="D416" s="6" t="s">
        <v>1207</v>
      </c>
      <c r="E416" s="6" t="s">
        <v>1463</v>
      </c>
      <c r="F416" s="6" t="str">
        <f>_xlfn.DISPIMG("ID_C209644ECC39463EA5B59B06CE28E370",1)</f>
        <v>=DISPIMG("ID_C209644ECC39463EA5B59B06CE28E370",1)</v>
      </c>
      <c r="G416" s="6" t="s">
        <v>44</v>
      </c>
      <c r="H416" s="6">
        <v>2</v>
      </c>
    </row>
    <row r="417" ht="57" customHeight="1" spans="1:8">
      <c r="A417" s="20" t="s">
        <v>1464</v>
      </c>
      <c r="B417" s="6" t="s">
        <v>1465</v>
      </c>
      <c r="C417" s="6" t="s">
        <v>1466</v>
      </c>
      <c r="D417" s="6" t="s">
        <v>1464</v>
      </c>
      <c r="E417" s="6" t="s">
        <v>1467</v>
      </c>
      <c r="F417" s="6" t="str">
        <f>_xlfn.DISPIMG("ID_14067D6D1FD145B09E2F7F3D7F34C104",1)</f>
        <v>=DISPIMG("ID_14067D6D1FD145B09E2F7F3D7F34C104",1)</v>
      </c>
      <c r="G417" s="6" t="s">
        <v>44</v>
      </c>
      <c r="H417" s="6">
        <v>2</v>
      </c>
    </row>
    <row r="418" ht="57" customHeight="1" spans="1:8">
      <c r="A418" s="20" t="s">
        <v>1468</v>
      </c>
      <c r="B418" s="6" t="s">
        <v>1469</v>
      </c>
      <c r="C418" s="6">
        <v>1</v>
      </c>
      <c r="D418" s="6" t="s">
        <v>1207</v>
      </c>
      <c r="E418" s="6" t="s">
        <v>1470</v>
      </c>
      <c r="F418" s="6" t="str">
        <f>_xlfn.DISPIMG("ID_9C2BA1B7E32F45779A9EC3A2317DFD0B",1)</f>
        <v>=DISPIMG("ID_9C2BA1B7E32F45779A9EC3A2317DFD0B",1)</v>
      </c>
      <c r="G418" s="6" t="s">
        <v>44</v>
      </c>
      <c r="H418" s="6">
        <v>2</v>
      </c>
    </row>
    <row r="419" ht="57" customHeight="1" spans="1:8">
      <c r="A419" s="20" t="s">
        <v>1471</v>
      </c>
      <c r="B419" s="6" t="s">
        <v>1472</v>
      </c>
      <c r="C419" s="6">
        <v>648304</v>
      </c>
      <c r="D419" s="6" t="s">
        <v>911</v>
      </c>
      <c r="E419" s="6" t="s">
        <v>1473</v>
      </c>
      <c r="F419" s="6" t="str">
        <f>_xlfn.DISPIMG("ID_7D690DB632CE43FFA55C77185C3A215A",1)</f>
        <v>=DISPIMG("ID_7D690DB632CE43FFA55C77185C3A215A",1)</v>
      </c>
      <c r="G419" s="6" t="s">
        <v>14</v>
      </c>
      <c r="H419" s="17">
        <v>2</v>
      </c>
    </row>
    <row r="420" ht="57" customHeight="1" spans="1:8">
      <c r="A420" s="20" t="s">
        <v>1474</v>
      </c>
      <c r="B420" s="6" t="s">
        <v>1475</v>
      </c>
      <c r="C420" s="6" t="s">
        <v>1476</v>
      </c>
      <c r="D420" s="6" t="s">
        <v>12</v>
      </c>
      <c r="E420" s="6" t="s">
        <v>1477</v>
      </c>
      <c r="F420" s="6" t="str">
        <f>_xlfn.DISPIMG("ID_36B1F9038CA945B78351E22E101C34B4",1)</f>
        <v>=DISPIMG("ID_36B1F9038CA945B78351E22E101C34B4",1)</v>
      </c>
      <c r="G420" s="6" t="s">
        <v>44</v>
      </c>
      <c r="H420" s="17">
        <v>2</v>
      </c>
    </row>
    <row r="421" ht="57" customHeight="1" spans="1:8">
      <c r="A421" s="20" t="s">
        <v>1478</v>
      </c>
      <c r="B421" s="6" t="s">
        <v>1328</v>
      </c>
      <c r="C421" s="6" t="s">
        <v>1479</v>
      </c>
      <c r="D421" s="6" t="s">
        <v>12</v>
      </c>
      <c r="E421" s="6" t="s">
        <v>1480</v>
      </c>
      <c r="F421" s="6" t="str">
        <f>_xlfn.DISPIMG("ID_70000D2840184CF6B1EFFE9B997386E0",1)</f>
        <v>=DISPIMG("ID_70000D2840184CF6B1EFFE9B997386E0",1)</v>
      </c>
      <c r="G421" s="6" t="s">
        <v>44</v>
      </c>
      <c r="H421" s="17">
        <v>2</v>
      </c>
    </row>
    <row r="422" ht="57" customHeight="1" spans="1:8">
      <c r="A422" s="20" t="s">
        <v>1481</v>
      </c>
      <c r="B422" s="68" t="s">
        <v>1482</v>
      </c>
      <c r="C422" s="89" t="s">
        <v>1483</v>
      </c>
      <c r="D422" s="6" t="s">
        <v>1484</v>
      </c>
      <c r="E422" s="68" t="s">
        <v>1485</v>
      </c>
      <c r="F422" s="6" t="str">
        <f>_xlfn.DISPIMG("ID_E68A0A6D307746A4BDB05622A1B42042",1)</f>
        <v>=DISPIMG("ID_E68A0A6D307746A4BDB05622A1B42042",1)</v>
      </c>
      <c r="G422" s="6" t="s">
        <v>44</v>
      </c>
      <c r="H422" s="17">
        <v>1</v>
      </c>
    </row>
    <row r="423" ht="57" customHeight="1" spans="1:8">
      <c r="A423" s="20" t="s">
        <v>1486</v>
      </c>
      <c r="B423" s="6" t="s">
        <v>212</v>
      </c>
      <c r="C423" s="6" t="s">
        <v>1487</v>
      </c>
      <c r="D423" s="6" t="s">
        <v>12</v>
      </c>
      <c r="E423" s="6" t="s">
        <v>1488</v>
      </c>
      <c r="F423" s="6" t="str">
        <f>_xlfn.DISPIMG("ID_DF38BCCD67104B5699FF54C4A192635E",1)</f>
        <v>=DISPIMG("ID_DF38BCCD67104B5699FF54C4A192635E",1)</v>
      </c>
      <c r="G423" s="6" t="s">
        <v>44</v>
      </c>
      <c r="H423" s="17">
        <v>2</v>
      </c>
    </row>
    <row r="424" ht="57" customHeight="1" spans="1:8">
      <c r="A424" s="20" t="s">
        <v>1489</v>
      </c>
      <c r="B424" s="6" t="s">
        <v>1490</v>
      </c>
      <c r="C424" s="6" t="s">
        <v>1491</v>
      </c>
      <c r="D424" s="6" t="s">
        <v>1207</v>
      </c>
      <c r="E424" s="6" t="s">
        <v>1492</v>
      </c>
      <c r="F424" s="6" t="str">
        <f>_xlfn.DISPIMG("ID_F8279618E99242C392BFEDF86975BDD3",1)</f>
        <v>=DISPIMG("ID_F8279618E99242C392BFEDF86975BDD3",1)</v>
      </c>
      <c r="G424" s="6" t="s">
        <v>44</v>
      </c>
      <c r="H424" s="17">
        <v>2</v>
      </c>
    </row>
    <row r="425" ht="57" customHeight="1" spans="1:8">
      <c r="A425" s="20" t="s">
        <v>1493</v>
      </c>
      <c r="B425" s="6" t="s">
        <v>1235</v>
      </c>
      <c r="C425" s="6" t="s">
        <v>1494</v>
      </c>
      <c r="D425" s="6" t="s">
        <v>1207</v>
      </c>
      <c r="E425" s="6" t="s">
        <v>1494</v>
      </c>
      <c r="F425" s="6" t="str">
        <f>_xlfn.DISPIMG("ID_854C2D7CF3C84C32BB40114768AC70D7",1)</f>
        <v>=DISPIMG("ID_854C2D7CF3C84C32BB40114768AC70D7",1)</v>
      </c>
      <c r="G425" s="6" t="s">
        <v>44</v>
      </c>
      <c r="H425" s="17">
        <v>2</v>
      </c>
    </row>
    <row r="426" ht="57" customHeight="1" spans="1:8">
      <c r="A426" s="20" t="s">
        <v>1495</v>
      </c>
      <c r="B426" s="6" t="s">
        <v>1496</v>
      </c>
      <c r="C426" s="6" t="s">
        <v>1497</v>
      </c>
      <c r="D426" s="6" t="s">
        <v>1498</v>
      </c>
      <c r="E426" s="6" t="s">
        <v>1499</v>
      </c>
      <c r="F426" s="6" t="str">
        <f>_xlfn.DISPIMG("ID_AD595B67F24049B889515A464F8112C0",1)</f>
        <v>=DISPIMG("ID_AD595B67F24049B889515A464F8112C0",1)</v>
      </c>
      <c r="G426" s="6" t="s">
        <v>44</v>
      </c>
      <c r="H426" s="17">
        <v>2</v>
      </c>
    </row>
    <row r="427" ht="57" customHeight="1" spans="1:8">
      <c r="A427" s="20" t="s">
        <v>1500</v>
      </c>
      <c r="B427" s="6" t="s">
        <v>1501</v>
      </c>
      <c r="C427" s="6" t="s">
        <v>1502</v>
      </c>
      <c r="D427" s="6" t="s">
        <v>1215</v>
      </c>
      <c r="E427" s="6" t="s">
        <v>1503</v>
      </c>
      <c r="F427" s="6" t="str">
        <f>_xlfn.DISPIMG("ID_FB7124F7A7734BC8860FA0C9A76954EA",1)</f>
        <v>=DISPIMG("ID_FB7124F7A7734BC8860FA0C9A76954EA",1)</v>
      </c>
      <c r="G427" s="6" t="s">
        <v>44</v>
      </c>
      <c r="H427" s="17">
        <v>2</v>
      </c>
    </row>
    <row r="428" ht="57" customHeight="1" spans="1:8">
      <c r="A428" s="20" t="s">
        <v>1504</v>
      </c>
      <c r="B428" s="6" t="s">
        <v>1505</v>
      </c>
      <c r="C428" s="6" t="s">
        <v>1506</v>
      </c>
      <c r="D428" s="6" t="s">
        <v>1207</v>
      </c>
      <c r="E428" s="6" t="s">
        <v>1507</v>
      </c>
      <c r="F428" s="6" t="str">
        <f>_xlfn.DISPIMG("ID_9BAD756461964450B91C6371D2C0100A",1)</f>
        <v>=DISPIMG("ID_9BAD756461964450B91C6371D2C0100A",1)</v>
      </c>
      <c r="G428" s="6" t="s">
        <v>44</v>
      </c>
      <c r="H428" s="17">
        <v>2</v>
      </c>
    </row>
    <row r="429" ht="57" customHeight="1" spans="1:8">
      <c r="A429" s="20" t="s">
        <v>1508</v>
      </c>
      <c r="B429" s="6" t="s">
        <v>1505</v>
      </c>
      <c r="C429" s="6" t="s">
        <v>1509</v>
      </c>
      <c r="D429" s="6" t="s">
        <v>1207</v>
      </c>
      <c r="E429" s="6" t="s">
        <v>1510</v>
      </c>
      <c r="F429" s="6" t="str">
        <f>_xlfn.DISPIMG("ID_96E281C7BBB04B8A98F69F4D064CE85F",1)</f>
        <v>=DISPIMG("ID_96E281C7BBB04B8A98F69F4D064CE85F",1)</v>
      </c>
      <c r="G429" s="6" t="s">
        <v>44</v>
      </c>
      <c r="H429" s="17">
        <v>2</v>
      </c>
    </row>
    <row r="430" ht="57" customHeight="1" spans="1:8">
      <c r="A430" s="20" t="s">
        <v>1511</v>
      </c>
      <c r="B430" s="6" t="s">
        <v>1461</v>
      </c>
      <c r="C430" s="6" t="s">
        <v>1512</v>
      </c>
      <c r="D430" s="6" t="s">
        <v>1513</v>
      </c>
      <c r="E430" s="6" t="s">
        <v>1514</v>
      </c>
      <c r="F430" s="6" t="str">
        <f>_xlfn.DISPIMG("ID_D36506B391454294A496DA69BEDF5152",1)</f>
        <v>=DISPIMG("ID_D36506B391454294A496DA69BEDF5152",1)</v>
      </c>
      <c r="G430" s="6" t="s">
        <v>44</v>
      </c>
      <c r="H430" s="17">
        <v>2</v>
      </c>
    </row>
    <row r="431" ht="57" customHeight="1" spans="1:8">
      <c r="A431" s="20" t="s">
        <v>1515</v>
      </c>
      <c r="B431" s="6" t="s">
        <v>1516</v>
      </c>
      <c r="C431" s="6" t="s">
        <v>1517</v>
      </c>
      <c r="D431" s="6" t="s">
        <v>1513</v>
      </c>
      <c r="E431" s="6" t="s">
        <v>1518</v>
      </c>
      <c r="F431" s="6" t="str">
        <f>_xlfn.DISPIMG("ID_61F020A4F0944150B77048CCE1585D23",1)</f>
        <v>=DISPIMG("ID_61F020A4F0944150B77048CCE1585D23",1)</v>
      </c>
      <c r="G431" s="6" t="s">
        <v>44</v>
      </c>
      <c r="H431" s="17">
        <v>2</v>
      </c>
    </row>
    <row r="432" ht="57" customHeight="1" spans="1:8">
      <c r="A432" s="20" t="s">
        <v>1519</v>
      </c>
      <c r="B432" s="6" t="s">
        <v>1520</v>
      </c>
      <c r="C432" s="6">
        <v>22050</v>
      </c>
      <c r="D432" s="6" t="s">
        <v>911</v>
      </c>
      <c r="E432" s="6" t="s">
        <v>1521</v>
      </c>
      <c r="F432" s="6" t="str">
        <f>_xlfn.DISPIMG("ID_202214156CED412F9F7A7D8E4ECB85F4",1)</f>
        <v>=DISPIMG("ID_202214156CED412F9F7A7D8E4ECB85F4",1)</v>
      </c>
      <c r="G432" s="6" t="s">
        <v>44</v>
      </c>
      <c r="H432" s="17">
        <v>2</v>
      </c>
    </row>
    <row r="433" ht="57" customHeight="1" spans="1:8">
      <c r="A433" s="6" t="s">
        <v>1522</v>
      </c>
      <c r="B433" s="6" t="s">
        <v>1523</v>
      </c>
      <c r="C433" s="6">
        <v>22</v>
      </c>
      <c r="D433" s="6" t="s">
        <v>1207</v>
      </c>
      <c r="E433" s="6" t="s">
        <v>1524</v>
      </c>
      <c r="F433" s="6" t="str">
        <f>_xlfn.DISPIMG("ID_85F613A3A8E5487DAA02C99C8981CD39",1)</f>
        <v>=DISPIMG("ID_85F613A3A8E5487DAA02C99C8981CD39",1)</v>
      </c>
      <c r="G433" s="6" t="s">
        <v>44</v>
      </c>
      <c r="H433" s="17">
        <v>2</v>
      </c>
    </row>
    <row r="434" ht="57" customHeight="1" spans="1:8">
      <c r="A434" s="6" t="s">
        <v>1525</v>
      </c>
      <c r="B434" s="6" t="s">
        <v>1526</v>
      </c>
      <c r="C434" s="6" t="s">
        <v>1527</v>
      </c>
      <c r="D434" s="6" t="s">
        <v>12</v>
      </c>
      <c r="E434" s="6" t="s">
        <v>1528</v>
      </c>
      <c r="F434" s="6" t="str">
        <f>_xlfn.DISPIMG("ID_02BD03567913492D85F173504BF96720",1)</f>
        <v>=DISPIMG("ID_02BD03567913492D85F173504BF96720",1)</v>
      </c>
      <c r="G434" s="6" t="s">
        <v>44</v>
      </c>
      <c r="H434" s="17">
        <v>2</v>
      </c>
    </row>
    <row r="435" ht="57" customHeight="1" spans="1:8">
      <c r="A435" s="6" t="s">
        <v>1529</v>
      </c>
      <c r="B435" s="6" t="s">
        <v>1530</v>
      </c>
      <c r="C435" s="17" t="s">
        <v>1531</v>
      </c>
      <c r="D435" s="6" t="s">
        <v>12</v>
      </c>
      <c r="E435" s="6" t="s">
        <v>638</v>
      </c>
      <c r="F435" s="6" t="str">
        <f>_xlfn.DISPIMG("ID_333B983412894F0294E5AE7C81B64008",1)</f>
        <v>=DISPIMG("ID_333B983412894F0294E5AE7C81B64008",1)</v>
      </c>
      <c r="G435" s="6" t="s">
        <v>14</v>
      </c>
      <c r="H435" s="6">
        <v>3</v>
      </c>
    </row>
    <row r="436" ht="57" customHeight="1" spans="1:8">
      <c r="A436" s="6" t="s">
        <v>1532</v>
      </c>
      <c r="B436" s="6" t="s">
        <v>1533</v>
      </c>
      <c r="C436" s="17" t="s">
        <v>1534</v>
      </c>
      <c r="D436" s="6" t="s">
        <v>12</v>
      </c>
      <c r="E436" s="6" t="s">
        <v>638</v>
      </c>
      <c r="F436" s="6" t="str">
        <f>_xlfn.DISPIMG("ID_CF541540C04D49B0A01641AB73803792",1)</f>
        <v>=DISPIMG("ID_CF541540C04D49B0A01641AB73803792",1)</v>
      </c>
      <c r="G436" s="6" t="s">
        <v>14</v>
      </c>
      <c r="H436" s="6">
        <v>3</v>
      </c>
    </row>
    <row r="437" ht="57" customHeight="1" spans="1:8">
      <c r="A437" s="6" t="s">
        <v>1535</v>
      </c>
      <c r="B437" s="6" t="s">
        <v>1536</v>
      </c>
      <c r="C437" s="17" t="s">
        <v>1537</v>
      </c>
      <c r="D437" s="6" t="s">
        <v>1538</v>
      </c>
      <c r="E437" s="6" t="s">
        <v>1539</v>
      </c>
      <c r="F437" s="6" t="str">
        <f>_xlfn.DISPIMG("ID_2B020D9A176241068B6AAFBC3EF5F0A8",1)</f>
        <v>=DISPIMG("ID_2B020D9A176241068B6AAFBC3EF5F0A8",1)</v>
      </c>
      <c r="G437" s="6" t="s">
        <v>14</v>
      </c>
      <c r="H437" s="6">
        <v>3</v>
      </c>
    </row>
    <row r="438" ht="57" customHeight="1" spans="1:8">
      <c r="A438" s="6" t="s">
        <v>1540</v>
      </c>
      <c r="B438" s="6" t="s">
        <v>1541</v>
      </c>
      <c r="C438" s="46" t="s">
        <v>1542</v>
      </c>
      <c r="D438" s="6" t="s">
        <v>68</v>
      </c>
      <c r="E438" s="6" t="s">
        <v>638</v>
      </c>
      <c r="F438" s="6" t="str">
        <f>_xlfn.DISPIMG("ID_A1119779B6934F6BA06184AC174C7C66",1)</f>
        <v>=DISPIMG("ID_A1119779B6934F6BA06184AC174C7C66",1)</v>
      </c>
      <c r="G438" s="6" t="s">
        <v>44</v>
      </c>
      <c r="H438" s="6">
        <v>3</v>
      </c>
    </row>
    <row r="439" ht="57" customHeight="1" spans="1:8">
      <c r="A439" s="6" t="s">
        <v>1543</v>
      </c>
      <c r="B439" s="6" t="s">
        <v>1297</v>
      </c>
      <c r="C439" s="17" t="s">
        <v>1544</v>
      </c>
      <c r="D439" s="6" t="s">
        <v>1484</v>
      </c>
      <c r="E439" s="6" t="s">
        <v>638</v>
      </c>
      <c r="F439" s="6" t="str">
        <f>_xlfn.DISPIMG("ID_AF101AF4DA3B435F9C9B19E364E08D75",1)</f>
        <v>=DISPIMG("ID_AF101AF4DA3B435F9C9B19E364E08D75",1)</v>
      </c>
      <c r="G439" s="6" t="s">
        <v>14</v>
      </c>
      <c r="H439" s="6">
        <v>3</v>
      </c>
    </row>
    <row r="440" ht="57" customHeight="1" spans="1:8">
      <c r="A440" s="6" t="s">
        <v>1545</v>
      </c>
      <c r="B440" s="6" t="s">
        <v>1546</v>
      </c>
      <c r="C440" s="17">
        <v>3256575</v>
      </c>
      <c r="D440" s="6" t="s">
        <v>12</v>
      </c>
      <c r="E440" s="6" t="s">
        <v>638</v>
      </c>
      <c r="F440" s="6" t="str">
        <f>_xlfn.DISPIMG("ID_56B09D1248294E9BAE2B0306544776AC",1)</f>
        <v>=DISPIMG("ID_56B09D1248294E9BAE2B0306544776AC",1)</v>
      </c>
      <c r="G440" s="6" t="s">
        <v>14</v>
      </c>
      <c r="H440" s="6">
        <v>3</v>
      </c>
    </row>
    <row r="441" ht="57" customHeight="1" spans="1:8">
      <c r="A441" s="6" t="s">
        <v>1547</v>
      </c>
      <c r="B441" s="6" t="s">
        <v>1018</v>
      </c>
      <c r="C441" s="17">
        <v>5685</v>
      </c>
      <c r="D441" s="6" t="s">
        <v>1548</v>
      </c>
      <c r="E441" s="6" t="s">
        <v>1549</v>
      </c>
      <c r="F441" s="6" t="str">
        <f>_xlfn.DISPIMG("ID_E5440A1E60C3452FBCC3ADA4D973B57A",1)</f>
        <v>=DISPIMG("ID_E5440A1E60C3452FBCC3ADA4D973B57A",1)</v>
      </c>
      <c r="G441" s="6" t="s">
        <v>44</v>
      </c>
      <c r="H441" s="6">
        <v>3</v>
      </c>
    </row>
    <row r="442" ht="57" customHeight="1" spans="1:8">
      <c r="A442" s="6" t="s">
        <v>1550</v>
      </c>
      <c r="B442" s="6" t="s">
        <v>1018</v>
      </c>
      <c r="C442" s="17">
        <v>5685</v>
      </c>
      <c r="D442" s="6" t="s">
        <v>1548</v>
      </c>
      <c r="E442" s="6" t="s">
        <v>1551</v>
      </c>
      <c r="F442" s="6" t="str">
        <f>_xlfn.DISPIMG("ID_4BA9C22B09494CBD832D98FC56FC73F3",1)</f>
        <v>=DISPIMG("ID_4BA9C22B09494CBD832D98FC56FC73F3",1)</v>
      </c>
      <c r="G442" s="6" t="s">
        <v>44</v>
      </c>
      <c r="H442" s="6">
        <v>3</v>
      </c>
    </row>
    <row r="443" ht="57" customHeight="1" spans="1:8">
      <c r="A443" s="6" t="s">
        <v>1552</v>
      </c>
      <c r="B443" s="6" t="s">
        <v>1553</v>
      </c>
      <c r="C443" s="6" t="s">
        <v>1554</v>
      </c>
      <c r="D443" s="6" t="s">
        <v>507</v>
      </c>
      <c r="E443" s="6" t="s">
        <v>1555</v>
      </c>
      <c r="F443" s="6" t="str">
        <f>_xlfn.DISPIMG("ID_1F04974F94E8488CBC4E901F113B3EB4",1)</f>
        <v>=DISPIMG("ID_1F04974F94E8488CBC4E901F113B3EB4",1)</v>
      </c>
      <c r="G443" s="6" t="s">
        <v>14</v>
      </c>
      <c r="H443" s="6">
        <v>6</v>
      </c>
    </row>
    <row r="444" ht="57" customHeight="1" spans="1:8">
      <c r="A444" s="6" t="s">
        <v>1556</v>
      </c>
      <c r="B444" s="37" t="s">
        <v>1332</v>
      </c>
      <c r="C444" s="17">
        <v>982</v>
      </c>
      <c r="D444" s="6" t="s">
        <v>1325</v>
      </c>
      <c r="E444" s="6" t="s">
        <v>1557</v>
      </c>
      <c r="F444" s="6" t="str">
        <f>_xlfn.DISPIMG("ID_E137E12F126B442F9B4ED7671126D3EA",1)</f>
        <v>=DISPIMG("ID_E137E12F126B442F9B4ED7671126D3EA",1)</v>
      </c>
      <c r="G444" s="6" t="s">
        <v>44</v>
      </c>
      <c r="H444" s="6">
        <v>3</v>
      </c>
    </row>
    <row r="445" ht="57" customHeight="1" spans="1:8">
      <c r="A445" s="6" t="s">
        <v>1558</v>
      </c>
      <c r="B445" s="6" t="s">
        <v>1265</v>
      </c>
      <c r="C445" s="17">
        <v>6</v>
      </c>
      <c r="D445" s="6" t="s">
        <v>12</v>
      </c>
      <c r="E445" s="6" t="s">
        <v>1559</v>
      </c>
      <c r="F445" s="6" t="str">
        <f>_xlfn.DISPIMG("ID_A0E2573F5D9241B1815D10A6384DCBAE",1)</f>
        <v>=DISPIMG("ID_A0E2573F5D9241B1815D10A6384DCBAE",1)</v>
      </c>
      <c r="G445" s="6" t="s">
        <v>44</v>
      </c>
      <c r="H445" s="6">
        <v>3</v>
      </c>
    </row>
    <row r="446" ht="57" customHeight="1" spans="1:8">
      <c r="A446" s="6" t="s">
        <v>1560</v>
      </c>
      <c r="B446" s="6" t="s">
        <v>1561</v>
      </c>
      <c r="C446" s="93" t="s">
        <v>1562</v>
      </c>
      <c r="D446" s="6" t="s">
        <v>12</v>
      </c>
      <c r="E446" s="6" t="s">
        <v>1563</v>
      </c>
      <c r="F446" s="6" t="str">
        <f>_xlfn.DISPIMG("ID_AC03794AFF7F4B5ABFBCEC2DB8C8E731",1)</f>
        <v>=DISPIMG("ID_AC03794AFF7F4B5ABFBCEC2DB8C8E731",1)</v>
      </c>
      <c r="G446" s="6" t="s">
        <v>14</v>
      </c>
      <c r="H446" s="6">
        <v>3</v>
      </c>
    </row>
    <row r="447" ht="57" customHeight="1" spans="1:8">
      <c r="A447" s="6" t="s">
        <v>1564</v>
      </c>
      <c r="B447" s="6" t="s">
        <v>1565</v>
      </c>
      <c r="C447" s="17">
        <v>32443</v>
      </c>
      <c r="D447" s="6" t="s">
        <v>12</v>
      </c>
      <c r="E447" s="6" t="s">
        <v>638</v>
      </c>
      <c r="F447" s="6" t="str">
        <f>_xlfn.DISPIMG("ID_E84E55CF6C82415DB682A62C39F02581",1)</f>
        <v>=DISPIMG("ID_E84E55CF6C82415DB682A62C39F02581",1)</v>
      </c>
      <c r="G447" s="6" t="s">
        <v>44</v>
      </c>
      <c r="H447" s="6">
        <v>3</v>
      </c>
    </row>
    <row r="448" ht="57" customHeight="1" spans="1:8">
      <c r="A448" s="6" t="s">
        <v>1566</v>
      </c>
      <c r="B448" s="6" t="s">
        <v>1180</v>
      </c>
      <c r="C448" s="17" t="s">
        <v>1567</v>
      </c>
      <c r="D448" s="6" t="s">
        <v>1484</v>
      </c>
      <c r="E448" s="6" t="s">
        <v>638</v>
      </c>
      <c r="F448" s="6" t="str">
        <f>_xlfn.DISPIMG("ID_3A132A897D3A4D828234FE0DF8D18413",1)</f>
        <v>=DISPIMG("ID_3A132A897D3A4D828234FE0DF8D18413",1)</v>
      </c>
      <c r="G448" s="6" t="s">
        <v>44</v>
      </c>
      <c r="H448" s="6">
        <v>3</v>
      </c>
    </row>
    <row r="449" ht="57" customHeight="1" spans="1:8">
      <c r="A449" s="6" t="s">
        <v>1568</v>
      </c>
      <c r="B449" s="6" t="s">
        <v>1569</v>
      </c>
      <c r="C449" s="17" t="s">
        <v>1570</v>
      </c>
      <c r="D449" s="6" t="s">
        <v>1186</v>
      </c>
      <c r="E449" s="6" t="s">
        <v>638</v>
      </c>
      <c r="F449" s="6" t="str">
        <f>_xlfn.DISPIMG("ID_03F2A892476B4BE6A343EC8BAE1770C7",1)</f>
        <v>=DISPIMG("ID_03F2A892476B4BE6A343EC8BAE1770C7",1)</v>
      </c>
      <c r="G449" s="6" t="s">
        <v>44</v>
      </c>
      <c r="H449" s="6">
        <v>3</v>
      </c>
    </row>
    <row r="450" ht="57" customHeight="1" spans="1:8">
      <c r="A450" s="6" t="s">
        <v>1571</v>
      </c>
      <c r="B450" s="6" t="s">
        <v>264</v>
      </c>
      <c r="C450" s="17" t="s">
        <v>1572</v>
      </c>
      <c r="D450" s="6" t="s">
        <v>12</v>
      </c>
      <c r="E450" s="6" t="s">
        <v>1573</v>
      </c>
      <c r="F450" s="6" t="str">
        <f>_xlfn.DISPIMG("ID_C2E0AB56E9984DFDAE524C215883CE9A",1)</f>
        <v>=DISPIMG("ID_C2E0AB56E9984DFDAE524C215883CE9A",1)</v>
      </c>
      <c r="G450" s="6" t="s">
        <v>44</v>
      </c>
      <c r="H450" s="6">
        <v>3</v>
      </c>
    </row>
    <row r="451" ht="57" customHeight="1" spans="1:8">
      <c r="A451" s="6" t="s">
        <v>1574</v>
      </c>
      <c r="B451" s="6" t="s">
        <v>1575</v>
      </c>
      <c r="C451" s="17" t="s">
        <v>1576</v>
      </c>
      <c r="D451" s="6" t="s">
        <v>1215</v>
      </c>
      <c r="E451" s="6" t="s">
        <v>1577</v>
      </c>
      <c r="F451" s="6" t="str">
        <f>_xlfn.DISPIMG("ID_3B524CCEE84F4467AA69FCAA4E053F2D",1)</f>
        <v>=DISPIMG("ID_3B524CCEE84F4467AA69FCAA4E053F2D",1)</v>
      </c>
      <c r="G451" s="6" t="s">
        <v>44</v>
      </c>
      <c r="H451" s="6">
        <v>3</v>
      </c>
    </row>
    <row r="452" ht="57" customHeight="1" spans="1:8">
      <c r="A452" s="6" t="s">
        <v>1578</v>
      </c>
      <c r="B452" s="6" t="s">
        <v>1579</v>
      </c>
      <c r="C452" s="17" t="s">
        <v>1580</v>
      </c>
      <c r="D452" s="6" t="s">
        <v>68</v>
      </c>
      <c r="E452" s="6" t="s">
        <v>638</v>
      </c>
      <c r="F452" s="6" t="str">
        <f>_xlfn.DISPIMG("ID_0DF7F00BCAAF447B845802C047DC5ADD",1)</f>
        <v>=DISPIMG("ID_0DF7F00BCAAF447B845802C047DC5ADD",1)</v>
      </c>
      <c r="G452" s="6" t="s">
        <v>44</v>
      </c>
      <c r="H452" s="6">
        <v>3</v>
      </c>
    </row>
    <row r="453" ht="57" customHeight="1" spans="1:8">
      <c r="A453" s="6" t="s">
        <v>1581</v>
      </c>
      <c r="B453" s="6" t="s">
        <v>1582</v>
      </c>
      <c r="C453" s="17" t="s">
        <v>1583</v>
      </c>
      <c r="D453" s="6" t="s">
        <v>1207</v>
      </c>
      <c r="E453" s="6" t="s">
        <v>1584</v>
      </c>
      <c r="F453" s="6" t="str">
        <f>_xlfn.DISPIMG("ID_DAF87BBE241D402FAC8A0E566E29E6F0",1)</f>
        <v>=DISPIMG("ID_DAF87BBE241D402FAC8A0E566E29E6F0",1)</v>
      </c>
      <c r="G453" s="6" t="s">
        <v>44</v>
      </c>
      <c r="H453" s="6">
        <v>3</v>
      </c>
    </row>
    <row r="454" ht="57" customHeight="1" spans="1:8">
      <c r="A454" s="6" t="s">
        <v>1585</v>
      </c>
      <c r="B454" s="6" t="s">
        <v>1586</v>
      </c>
      <c r="C454" s="17" t="s">
        <v>1587</v>
      </c>
      <c r="D454" s="6" t="s">
        <v>911</v>
      </c>
      <c r="E454" s="6" t="s">
        <v>528</v>
      </c>
      <c r="F454" s="6" t="str">
        <f>_xlfn.DISPIMG("ID_B90317ABA7584CB09C1B2B17687C682A",1)</f>
        <v>=DISPIMG("ID_B90317ABA7584CB09C1B2B17687C682A",1)</v>
      </c>
      <c r="G454" s="6" t="s">
        <v>44</v>
      </c>
      <c r="H454" s="6">
        <v>3</v>
      </c>
    </row>
    <row r="455" ht="57" customHeight="1" spans="1:8">
      <c r="A455" s="6" t="s">
        <v>1588</v>
      </c>
      <c r="B455" s="6" t="s">
        <v>528</v>
      </c>
      <c r="C455" s="17" t="s">
        <v>1262</v>
      </c>
      <c r="D455" s="6" t="s">
        <v>12</v>
      </c>
      <c r="E455" s="6" t="s">
        <v>1589</v>
      </c>
      <c r="F455" s="6" t="str">
        <f>_xlfn.DISPIMG("ID_26467623EA8E4B579A1C5755654796E2",1)</f>
        <v>=DISPIMG("ID_26467623EA8E4B579A1C5755654796E2",1)</v>
      </c>
      <c r="G455" s="6" t="s">
        <v>44</v>
      </c>
      <c r="H455" s="6">
        <v>3</v>
      </c>
    </row>
    <row r="456" ht="57" customHeight="1" spans="1:8">
      <c r="A456" s="6" t="s">
        <v>1590</v>
      </c>
      <c r="B456" s="6" t="s">
        <v>1516</v>
      </c>
      <c r="C456" s="17" t="s">
        <v>1591</v>
      </c>
      <c r="D456" s="6" t="s">
        <v>12</v>
      </c>
      <c r="E456" s="6" t="s">
        <v>1592</v>
      </c>
      <c r="F456" s="6" t="str">
        <f>_xlfn.DISPIMG("ID_38A5B3A2951A4642B4E0ED6B3A78B5C6",1)</f>
        <v>=DISPIMG("ID_38A5B3A2951A4642B4E0ED6B3A78B5C6",1)</v>
      </c>
      <c r="G456" s="6" t="s">
        <v>44</v>
      </c>
      <c r="H456" s="6">
        <v>3</v>
      </c>
    </row>
    <row r="457" ht="57" customHeight="1" spans="1:8">
      <c r="A457" s="6" t="s">
        <v>1593</v>
      </c>
      <c r="B457" s="6" t="s">
        <v>1594</v>
      </c>
      <c r="C457" s="6" t="s">
        <v>1595</v>
      </c>
      <c r="D457" s="6" t="s">
        <v>911</v>
      </c>
      <c r="E457" s="6" t="s">
        <v>1596</v>
      </c>
      <c r="F457" s="6" t="str">
        <f>_xlfn.DISPIMG("ID_1A1DF967162B4757B8B6EB7D12658518",1)</f>
        <v>=DISPIMG("ID_1A1DF967162B4757B8B6EB7D12658518",1)</v>
      </c>
      <c r="G457" s="6" t="s">
        <v>44</v>
      </c>
      <c r="H457" s="6">
        <v>3</v>
      </c>
    </row>
    <row r="458" ht="57" customHeight="1" spans="1:8">
      <c r="A458" s="6" t="s">
        <v>1597</v>
      </c>
      <c r="B458" s="6" t="s">
        <v>1598</v>
      </c>
      <c r="C458" s="6" t="s">
        <v>1599</v>
      </c>
      <c r="D458" s="6" t="s">
        <v>1600</v>
      </c>
      <c r="E458" s="6" t="s">
        <v>1601</v>
      </c>
      <c r="F458" s="6" t="str">
        <f>_xlfn.DISPIMG("ID_A27823217EB44F7BA4AA1CCB7F387AD1",1)</f>
        <v>=DISPIMG("ID_A27823217EB44F7BA4AA1CCB7F387AD1",1)</v>
      </c>
      <c r="G458" s="6" t="s">
        <v>44</v>
      </c>
      <c r="H458" s="6">
        <v>3</v>
      </c>
    </row>
    <row r="459" ht="57" customHeight="1" spans="1:8">
      <c r="A459" s="6" t="s">
        <v>1602</v>
      </c>
      <c r="B459" s="6" t="s">
        <v>1603</v>
      </c>
      <c r="C459" s="6" t="s">
        <v>1604</v>
      </c>
      <c r="D459" s="6" t="s">
        <v>12</v>
      </c>
      <c r="E459" s="6" t="s">
        <v>1605</v>
      </c>
      <c r="F459" s="6" t="str">
        <f>_xlfn.DISPIMG("ID_12174466213B4C94B0E01A4185087110",1)</f>
        <v>=DISPIMG("ID_12174466213B4C94B0E01A4185087110",1)</v>
      </c>
      <c r="G459" s="6" t="s">
        <v>44</v>
      </c>
      <c r="H459" s="17">
        <v>3</v>
      </c>
    </row>
    <row r="460" ht="57" customHeight="1" spans="1:8">
      <c r="A460" s="6" t="s">
        <v>1606</v>
      </c>
      <c r="B460" s="6" t="s">
        <v>1606</v>
      </c>
      <c r="C460" s="6" t="s">
        <v>1607</v>
      </c>
      <c r="D460" s="6" t="s">
        <v>12</v>
      </c>
      <c r="E460" s="6" t="s">
        <v>1607</v>
      </c>
      <c r="F460" s="6" t="str">
        <f>_xlfn.DISPIMG("ID_660F8772AF624F7A8C9F43E7AA3439F8",1)</f>
        <v>=DISPIMG("ID_660F8772AF624F7A8C9F43E7AA3439F8",1)</v>
      </c>
      <c r="G460" s="6" t="s">
        <v>44</v>
      </c>
      <c r="H460" s="17">
        <v>3</v>
      </c>
    </row>
    <row r="461" ht="57" customHeight="1" spans="1:8">
      <c r="A461" s="6" t="s">
        <v>1608</v>
      </c>
      <c r="B461" s="40" t="s">
        <v>1609</v>
      </c>
      <c r="C461" s="46" t="s">
        <v>1610</v>
      </c>
      <c r="D461" s="6" t="s">
        <v>911</v>
      </c>
      <c r="E461" s="68" t="s">
        <v>1611</v>
      </c>
      <c r="F461" s="6" t="str">
        <f>_xlfn.DISPIMG("ID_F105B09E943F4B68BFBA7D738EA9202D",1)</f>
        <v>=DISPIMG("ID_F105B09E943F4B68BFBA7D738EA9202D",1)</v>
      </c>
      <c r="G461" s="6" t="s">
        <v>44</v>
      </c>
      <c r="H461" s="17">
        <v>3</v>
      </c>
    </row>
    <row r="462" ht="57" customHeight="1" spans="1:8">
      <c r="A462" s="5" t="s">
        <v>1612</v>
      </c>
      <c r="B462" s="5" t="s">
        <v>1613</v>
      </c>
      <c r="C462" s="6" t="s">
        <v>1614</v>
      </c>
      <c r="D462" s="5" t="s">
        <v>12</v>
      </c>
      <c r="E462" s="5" t="s">
        <v>1615</v>
      </c>
      <c r="F462" s="5" t="str">
        <f>_xlfn.DISPIMG("ID_3B2ADAFB974A4B5F8D9855AAFD410890",1)</f>
        <v>=DISPIMG("ID_3B2ADAFB974A4B5F8D9855AAFD410890",1)</v>
      </c>
      <c r="G462" s="40" t="s">
        <v>44</v>
      </c>
      <c r="H462" s="40">
        <v>3</v>
      </c>
    </row>
    <row r="463" ht="57" customHeight="1" spans="1:8">
      <c r="A463" s="5" t="s">
        <v>1616</v>
      </c>
      <c r="B463" s="5" t="s">
        <v>1617</v>
      </c>
      <c r="C463" s="6" t="s">
        <v>1618</v>
      </c>
      <c r="D463" s="5" t="s">
        <v>911</v>
      </c>
      <c r="E463" s="5" t="s">
        <v>1619</v>
      </c>
      <c r="F463" s="5" t="str">
        <f>_xlfn.DISPIMG("ID_F07A21BD254449C7AA9DDFB4F5222CF3",1)</f>
        <v>=DISPIMG("ID_F07A21BD254449C7AA9DDFB4F5222CF3",1)</v>
      </c>
      <c r="G463" s="40" t="s">
        <v>44</v>
      </c>
      <c r="H463" s="40">
        <v>3</v>
      </c>
    </row>
    <row r="464" ht="57" customHeight="1" spans="1:8">
      <c r="A464" s="5" t="s">
        <v>1620</v>
      </c>
      <c r="B464" s="5" t="s">
        <v>1621</v>
      </c>
      <c r="C464" s="89" t="s">
        <v>1622</v>
      </c>
      <c r="D464" s="5" t="s">
        <v>1623</v>
      </c>
      <c r="E464" s="5" t="s">
        <v>1624</v>
      </c>
      <c r="F464" s="5" t="str">
        <f>_xlfn.DISPIMG("ID_3AB8FB5241834E0B8B39784607E66DFE",1)</f>
        <v>=DISPIMG("ID_3AB8FB5241834E0B8B39784607E66DFE",1)</v>
      </c>
      <c r="G464" s="40" t="s">
        <v>14</v>
      </c>
      <c r="H464" s="40">
        <v>2</v>
      </c>
    </row>
    <row r="465" ht="57" customHeight="1" spans="1:8">
      <c r="A465" s="5" t="s">
        <v>1625</v>
      </c>
      <c r="B465" s="5" t="s">
        <v>1582</v>
      </c>
      <c r="C465" s="6" t="s">
        <v>1626</v>
      </c>
      <c r="D465" s="5" t="s">
        <v>1484</v>
      </c>
      <c r="E465" s="5" t="s">
        <v>1627</v>
      </c>
      <c r="F465" s="5" t="str">
        <f>_xlfn.DISPIMG("ID_FB0AADD146F44F84B313F4121B028E81",1)</f>
        <v>=DISPIMG("ID_FB0AADD146F44F84B313F4121B028E81",1)</v>
      </c>
      <c r="G465" s="40" t="s">
        <v>44</v>
      </c>
      <c r="H465" s="40">
        <v>3</v>
      </c>
    </row>
    <row r="466" ht="57" customHeight="1" spans="1:8">
      <c r="A466" s="5" t="s">
        <v>1628</v>
      </c>
      <c r="B466" s="5" t="s">
        <v>1629</v>
      </c>
      <c r="C466" s="6" t="s">
        <v>1630</v>
      </c>
      <c r="D466" s="5" t="s">
        <v>507</v>
      </c>
      <c r="E466" s="68" t="s">
        <v>1631</v>
      </c>
      <c r="F466" s="5" t="str">
        <f>_xlfn.DISPIMG("ID_D954D8FBDA174B9C9E22ADFFD8100763",1)</f>
        <v>=DISPIMG("ID_D954D8FBDA174B9C9E22ADFFD8100763",1)</v>
      </c>
      <c r="G466" s="40" t="s">
        <v>14</v>
      </c>
      <c r="H466" s="40">
        <v>2</v>
      </c>
    </row>
    <row r="467" ht="57" customHeight="1" spans="1:8">
      <c r="A467" s="5" t="s">
        <v>1632</v>
      </c>
      <c r="B467" s="5" t="s">
        <v>1629</v>
      </c>
      <c r="C467" s="6" t="s">
        <v>1633</v>
      </c>
      <c r="D467" s="5" t="s">
        <v>507</v>
      </c>
      <c r="E467" s="68" t="s">
        <v>1634</v>
      </c>
      <c r="F467" s="5" t="str">
        <f>_xlfn.DISPIMG("ID_DC958E1C842D4AE3942CA51EEAB063DB",1)</f>
        <v>=DISPIMG("ID_DC958E1C842D4AE3942CA51EEAB063DB",1)</v>
      </c>
      <c r="G467" s="40" t="s">
        <v>14</v>
      </c>
      <c r="H467" s="40">
        <v>3</v>
      </c>
    </row>
    <row r="468" ht="57" customHeight="1" spans="1:8">
      <c r="A468" s="5" t="s">
        <v>1635</v>
      </c>
      <c r="B468" s="5" t="s">
        <v>1636</v>
      </c>
      <c r="C468" s="6" t="s">
        <v>1637</v>
      </c>
      <c r="D468" s="5" t="s">
        <v>507</v>
      </c>
      <c r="E468" s="5" t="s">
        <v>1638</v>
      </c>
      <c r="F468" s="5" t="str">
        <f>_xlfn.DISPIMG("ID_EDBADE6848E947328F5D805FA9AE6125",1)</f>
        <v>=DISPIMG("ID_EDBADE6848E947328F5D805FA9AE6125",1)</v>
      </c>
      <c r="G468" s="40" t="s">
        <v>14</v>
      </c>
      <c r="H468" s="40">
        <v>1</v>
      </c>
    </row>
    <row r="469" ht="57" customHeight="1" spans="1:8">
      <c r="A469" s="5" t="s">
        <v>1639</v>
      </c>
      <c r="B469" s="5" t="s">
        <v>1640</v>
      </c>
      <c r="C469" s="6" t="s">
        <v>1641</v>
      </c>
      <c r="D469" s="5" t="s">
        <v>12</v>
      </c>
      <c r="E469" s="5" t="s">
        <v>1642</v>
      </c>
      <c r="F469" s="5" t="str">
        <f>_xlfn.DISPIMG("ID_45884B59ECD040A4A00BDD468695699A",1)</f>
        <v>=DISPIMG("ID_45884B59ECD040A4A00BDD468695699A",1)</v>
      </c>
      <c r="G469" s="40" t="s">
        <v>44</v>
      </c>
      <c r="H469" s="40">
        <v>3</v>
      </c>
    </row>
    <row r="470" ht="57" customHeight="1" spans="1:8">
      <c r="A470" s="5" t="s">
        <v>1643</v>
      </c>
      <c r="B470" s="5" t="s">
        <v>1617</v>
      </c>
      <c r="C470" s="6" t="s">
        <v>1644</v>
      </c>
      <c r="D470" s="5" t="s">
        <v>12</v>
      </c>
      <c r="E470" s="5" t="s">
        <v>1645</v>
      </c>
      <c r="F470" s="5" t="str">
        <f>_xlfn.DISPIMG("ID_793354CFCC234460A688B4B936F55B54",1)</f>
        <v>=DISPIMG("ID_793354CFCC234460A688B4B936F55B54",1)</v>
      </c>
      <c r="G470" s="40" t="s">
        <v>44</v>
      </c>
      <c r="H470" s="40">
        <v>3</v>
      </c>
    </row>
    <row r="471" ht="57" customHeight="1" spans="1:8">
      <c r="A471" s="5" t="s">
        <v>1646</v>
      </c>
      <c r="B471" s="5" t="s">
        <v>1647</v>
      </c>
      <c r="C471" s="6" t="s">
        <v>1648</v>
      </c>
      <c r="D471" s="5" t="s">
        <v>12</v>
      </c>
      <c r="E471" s="5" t="s">
        <v>1649</v>
      </c>
      <c r="F471" s="5" t="str">
        <f>_xlfn.DISPIMG("ID_C1D31A54141B408AA1F6F1B041F9FDB4",1)</f>
        <v>=DISPIMG("ID_C1D31A54141B408AA1F6F1B041F9FDB4",1)</v>
      </c>
      <c r="G471" s="40" t="s">
        <v>44</v>
      </c>
      <c r="H471" s="40">
        <v>1</v>
      </c>
    </row>
    <row r="472" ht="57" customHeight="1" spans="1:8">
      <c r="A472" s="5" t="s">
        <v>1650</v>
      </c>
      <c r="B472" s="5" t="s">
        <v>1018</v>
      </c>
      <c r="C472" s="6">
        <v>230609010</v>
      </c>
      <c r="D472" s="5" t="s">
        <v>12</v>
      </c>
      <c r="E472" s="5" t="s">
        <v>1651</v>
      </c>
      <c r="F472" s="5" t="str">
        <f>_xlfn.DISPIMG("ID_114F85FF395F4624ABA69E797BA1CEEF",1)</f>
        <v>=DISPIMG("ID_114F85FF395F4624ABA69E797BA1CEEF",1)</v>
      </c>
      <c r="G472" s="40" t="s">
        <v>44</v>
      </c>
      <c r="H472" s="40">
        <v>3</v>
      </c>
    </row>
    <row r="473" ht="57" customHeight="1" spans="1:8">
      <c r="A473" s="5" t="s">
        <v>1652</v>
      </c>
      <c r="B473" s="5" t="s">
        <v>1653</v>
      </c>
      <c r="C473" s="6">
        <v>6484</v>
      </c>
      <c r="D473" s="5" t="s">
        <v>68</v>
      </c>
      <c r="E473" s="5" t="s">
        <v>1654</v>
      </c>
      <c r="F473" s="5" t="str">
        <f>_xlfn.DISPIMG("ID_EC0BE0E2E5E440E3813AF720624169BB",1)</f>
        <v>=DISPIMG("ID_EC0BE0E2E5E440E3813AF720624169BB",1)</v>
      </c>
      <c r="G473" s="40" t="s">
        <v>44</v>
      </c>
      <c r="H473" s="40">
        <v>3</v>
      </c>
    </row>
    <row r="474" ht="57" customHeight="1" spans="1:8">
      <c r="A474" s="5" t="s">
        <v>1655</v>
      </c>
      <c r="B474" s="5" t="s">
        <v>319</v>
      </c>
      <c r="C474" s="6" t="s">
        <v>1656</v>
      </c>
      <c r="D474" s="5" t="s">
        <v>12</v>
      </c>
      <c r="E474" s="5" t="s">
        <v>1655</v>
      </c>
      <c r="F474" s="5" t="str">
        <f>_xlfn.DISPIMG("ID_6136ABB18EB24731A36A52878C8354AD",1)</f>
        <v>=DISPIMG("ID_6136ABB18EB24731A36A52878C8354AD",1)</v>
      </c>
      <c r="G474" s="40" t="s">
        <v>44</v>
      </c>
      <c r="H474" s="40">
        <v>3</v>
      </c>
    </row>
    <row r="475" ht="57" customHeight="1" spans="1:8">
      <c r="A475" s="5" t="s">
        <v>1657</v>
      </c>
      <c r="B475" s="5" t="s">
        <v>1658</v>
      </c>
      <c r="C475" s="6" t="s">
        <v>1659</v>
      </c>
      <c r="D475" s="5" t="s">
        <v>507</v>
      </c>
      <c r="E475" s="5" t="s">
        <v>1660</v>
      </c>
      <c r="F475" s="5" t="str">
        <f>_xlfn.DISPIMG("ID_8C404B09C6544F69AAA525AD75BC3E52",1)</f>
        <v>=DISPIMG("ID_8C404B09C6544F69AAA525AD75BC3E52",1)</v>
      </c>
      <c r="G475" s="40" t="s">
        <v>14</v>
      </c>
      <c r="H475" s="40">
        <v>1</v>
      </c>
    </row>
    <row r="476" ht="57" customHeight="1" spans="1:8">
      <c r="A476" s="5" t="s">
        <v>1661</v>
      </c>
      <c r="B476" s="5" t="s">
        <v>1658</v>
      </c>
      <c r="C476" s="6" t="s">
        <v>1659</v>
      </c>
      <c r="D476" s="5" t="s">
        <v>507</v>
      </c>
      <c r="E476" s="5" t="s">
        <v>1662</v>
      </c>
      <c r="F476" s="5" t="str">
        <f>_xlfn.DISPIMG("ID_1FE56E86804E48C1B4A38A8CDCC3ED7A",1)</f>
        <v>=DISPIMG("ID_1FE56E86804E48C1B4A38A8CDCC3ED7A",1)</v>
      </c>
      <c r="G476" s="40" t="s">
        <v>14</v>
      </c>
      <c r="H476" s="40">
        <v>1</v>
      </c>
    </row>
    <row r="477" ht="57" customHeight="1" spans="1:8">
      <c r="A477" s="5" t="s">
        <v>1663</v>
      </c>
      <c r="B477" s="5" t="s">
        <v>1658</v>
      </c>
      <c r="C477" s="6"/>
      <c r="D477" s="5" t="s">
        <v>507</v>
      </c>
      <c r="E477" s="5" t="s">
        <v>1664</v>
      </c>
      <c r="F477" s="5" t="str">
        <f>_xlfn.DISPIMG("ID_901BCA53BF014F7CB94B4D6C4C56E03F",1)</f>
        <v>=DISPIMG("ID_901BCA53BF014F7CB94B4D6C4C56E03F",1)</v>
      </c>
      <c r="G477" s="40" t="s">
        <v>14</v>
      </c>
      <c r="H477" s="40">
        <v>1</v>
      </c>
    </row>
    <row r="478" ht="57" customHeight="1" spans="1:8">
      <c r="A478" s="5" t="s">
        <v>1665</v>
      </c>
      <c r="B478" s="5" t="s">
        <v>1666</v>
      </c>
      <c r="C478" s="6" t="s">
        <v>1667</v>
      </c>
      <c r="D478" s="5" t="s">
        <v>12</v>
      </c>
      <c r="E478" s="5" t="s">
        <v>1668</v>
      </c>
      <c r="F478" s="5" t="str">
        <f>_xlfn.DISPIMG("ID_B578C3B28C934063B4C9DC07142EEA76",1)</f>
        <v>=DISPIMG("ID_B578C3B28C934063B4C9DC07142EEA76",1)</v>
      </c>
      <c r="G478" s="40" t="s">
        <v>14</v>
      </c>
      <c r="H478" s="40">
        <v>8</v>
      </c>
    </row>
    <row r="479" ht="57" customHeight="1" spans="1:8">
      <c r="A479" s="5" t="s">
        <v>1669</v>
      </c>
      <c r="B479" s="37" t="s">
        <v>1670</v>
      </c>
      <c r="C479" s="6" t="s">
        <v>1671</v>
      </c>
      <c r="D479" s="5" t="s">
        <v>887</v>
      </c>
      <c r="E479" s="5" t="s">
        <v>1671</v>
      </c>
      <c r="F479" s="5" t="str">
        <f>_xlfn.DISPIMG("ID_59A353E937F84F07A3CEA7B7EF96C953",1)</f>
        <v>=DISPIMG("ID_59A353E937F84F07A3CEA7B7EF96C953",1)</v>
      </c>
      <c r="G479" s="40" t="s">
        <v>14</v>
      </c>
      <c r="H479" s="40">
        <v>2</v>
      </c>
    </row>
    <row r="480" ht="57" customHeight="1" spans="1:8">
      <c r="A480" s="5" t="s">
        <v>1672</v>
      </c>
      <c r="B480" s="37" t="s">
        <v>1670</v>
      </c>
      <c r="C480" s="6" t="s">
        <v>1673</v>
      </c>
      <c r="D480" s="5" t="s">
        <v>887</v>
      </c>
      <c r="E480" s="5" t="s">
        <v>1673</v>
      </c>
      <c r="F480" s="5" t="str">
        <f>_xlfn.DISPIMG("ID_5310756A3DC7467486506CC69F625BC4",1)</f>
        <v>=DISPIMG("ID_5310756A3DC7467486506CC69F625BC4",1)</v>
      </c>
      <c r="G480" s="40" t="s">
        <v>14</v>
      </c>
      <c r="H480" s="40">
        <v>4</v>
      </c>
    </row>
    <row r="481" ht="57" customHeight="1" spans="1:8">
      <c r="A481" s="5" t="s">
        <v>1674</v>
      </c>
      <c r="B481" s="5" t="s">
        <v>1675</v>
      </c>
      <c r="C481" s="6" t="s">
        <v>1676</v>
      </c>
      <c r="D481" s="5" t="s">
        <v>48</v>
      </c>
      <c r="E481" s="5" t="s">
        <v>1677</v>
      </c>
      <c r="F481" s="5" t="str">
        <f>_xlfn.DISPIMG("ID_F42301209C5C4291BCD5ED244417AEEC",1)</f>
        <v>=DISPIMG("ID_F42301209C5C4291BCD5ED244417AEEC",1)</v>
      </c>
      <c r="G481" s="40" t="s">
        <v>14</v>
      </c>
      <c r="H481" s="40">
        <v>1</v>
      </c>
    </row>
    <row r="482" ht="57" customHeight="1" spans="1:8">
      <c r="A482" s="40" t="s">
        <v>1678</v>
      </c>
      <c r="B482" s="40" t="s">
        <v>1679</v>
      </c>
      <c r="C482" s="17">
        <v>929</v>
      </c>
      <c r="D482" s="40" t="s">
        <v>1680</v>
      </c>
      <c r="E482" s="5" t="s">
        <v>1681</v>
      </c>
      <c r="F482" s="40" t="str">
        <f>_xlfn.DISPIMG("ID_122E3EC9DA874933909C4B2BBB983AFF",1)</f>
        <v>=DISPIMG("ID_122E3EC9DA874933909C4B2BBB983AFF",1)</v>
      </c>
      <c r="G482" s="40" t="s">
        <v>44</v>
      </c>
      <c r="H482" s="40">
        <v>2</v>
      </c>
    </row>
    <row r="483" ht="57" customHeight="1" spans="1:8">
      <c r="A483" s="20" t="s">
        <v>1682</v>
      </c>
      <c r="B483" s="6" t="s">
        <v>1683</v>
      </c>
      <c r="C483" s="6" t="s">
        <v>1684</v>
      </c>
      <c r="D483" s="6" t="s">
        <v>12</v>
      </c>
      <c r="E483" s="6" t="s">
        <v>638</v>
      </c>
      <c r="F483" s="17" t="str">
        <f>_xlfn.DISPIMG("ID_DDA1D18BE5FA458DA42C62D77A6C0E16",1)</f>
        <v>=DISPIMG("ID_DDA1D18BE5FA458DA42C62D77A6C0E16",1)</v>
      </c>
      <c r="G483" s="6" t="s">
        <v>44</v>
      </c>
      <c r="H483" s="17">
        <v>2</v>
      </c>
    </row>
    <row r="484" ht="57" customHeight="1" spans="1:8">
      <c r="A484" s="20" t="s">
        <v>1685</v>
      </c>
      <c r="B484" s="6" t="s">
        <v>662</v>
      </c>
      <c r="C484" s="6" t="s">
        <v>638</v>
      </c>
      <c r="D484" s="6" t="s">
        <v>12</v>
      </c>
      <c r="E484" s="6" t="s">
        <v>638</v>
      </c>
      <c r="F484" s="17" t="str">
        <f>_xlfn.DISPIMG("ID_941A234AC7FC4E1BA8626670CDE0B360",1)</f>
        <v>=DISPIMG("ID_941A234AC7FC4E1BA8626670CDE0B360",1)</v>
      </c>
      <c r="G484" s="17" t="s">
        <v>44</v>
      </c>
      <c r="H484" s="17">
        <v>2</v>
      </c>
    </row>
    <row r="485" ht="57" customHeight="1" spans="1:8">
      <c r="A485" s="20" t="s">
        <v>1686</v>
      </c>
      <c r="B485" s="6" t="s">
        <v>1687</v>
      </c>
      <c r="C485" s="6" t="s">
        <v>638</v>
      </c>
      <c r="D485" s="6" t="s">
        <v>1680</v>
      </c>
      <c r="E485" s="6" t="s">
        <v>1688</v>
      </c>
      <c r="F485" s="6" t="str">
        <f>_xlfn.DISPIMG("ID_AE2842D674224C66975FCDD4FABC38E0",1)</f>
        <v>=DISPIMG("ID_AE2842D674224C66975FCDD4FABC38E0",1)</v>
      </c>
      <c r="G485" s="17" t="s">
        <v>14</v>
      </c>
      <c r="H485" s="17">
        <v>2</v>
      </c>
    </row>
    <row r="486" ht="57" customHeight="1" spans="1:8">
      <c r="A486" s="20" t="s">
        <v>1689</v>
      </c>
      <c r="B486" s="6" t="s">
        <v>19</v>
      </c>
      <c r="C486" s="6" t="s">
        <v>1690</v>
      </c>
      <c r="D486" s="6" t="s">
        <v>12</v>
      </c>
      <c r="E486" s="6" t="s">
        <v>1691</v>
      </c>
      <c r="F486" s="6" t="str">
        <f>_xlfn.DISPIMG("ID_F0E5B45DB837483896B14F78B01D0AD3",1)</f>
        <v>=DISPIMG("ID_F0E5B45DB837483896B14F78B01D0AD3",1)</v>
      </c>
      <c r="G486" s="17" t="s">
        <v>14</v>
      </c>
      <c r="H486" s="17">
        <v>1</v>
      </c>
    </row>
    <row r="487" ht="57" customHeight="1" spans="1:8">
      <c r="A487" s="20" t="s">
        <v>1692</v>
      </c>
      <c r="B487" s="6" t="s">
        <v>19</v>
      </c>
      <c r="C487" s="6" t="s">
        <v>1693</v>
      </c>
      <c r="D487" s="6" t="s">
        <v>1694</v>
      </c>
      <c r="E487" s="6" t="s">
        <v>1695</v>
      </c>
      <c r="F487" s="6" t="str">
        <f>_xlfn.DISPIMG("ID_08B494509EB5450D8962522D9762C7E0",1)</f>
        <v>=DISPIMG("ID_08B494509EB5450D8962522D9762C7E0",1)</v>
      </c>
      <c r="G487" s="17" t="s">
        <v>44</v>
      </c>
      <c r="H487" s="17">
        <v>1</v>
      </c>
    </row>
    <row r="488" ht="57" customHeight="1" spans="1:8">
      <c r="A488" s="69" t="s">
        <v>1696</v>
      </c>
      <c r="B488" s="34" t="s">
        <v>351</v>
      </c>
      <c r="C488" s="34" t="s">
        <v>1697</v>
      </c>
      <c r="D488" s="34" t="s">
        <v>1698</v>
      </c>
      <c r="E488" s="34" t="s">
        <v>1697</v>
      </c>
      <c r="F488" s="35" t="str">
        <f>_xlfn.DISPIMG("ID_EEDFF716336E4FCAB67B75678AD488F4",1)</f>
        <v>=DISPIMG("ID_EEDFF716336E4FCAB67B75678AD488F4",1)</v>
      </c>
      <c r="G488" s="34" t="s">
        <v>44</v>
      </c>
      <c r="H488" s="35">
        <v>1</v>
      </c>
    </row>
    <row r="489" ht="57" customHeight="1" spans="1:8">
      <c r="A489" s="20" t="s">
        <v>1699</v>
      </c>
      <c r="B489" s="6" t="s">
        <v>1700</v>
      </c>
      <c r="C489" s="6" t="s">
        <v>638</v>
      </c>
      <c r="D489" s="6" t="s">
        <v>68</v>
      </c>
      <c r="E489" s="6" t="s">
        <v>1701</v>
      </c>
      <c r="F489" s="6" t="str">
        <f>_xlfn.DISPIMG("ID_D47E2CD4C5394E658A50D523B72D27A5",1)</f>
        <v>=DISPIMG("ID_D47E2CD4C5394E658A50D523B72D27A5",1)</v>
      </c>
      <c r="G489" s="17" t="s">
        <v>44</v>
      </c>
      <c r="H489" s="17">
        <v>1</v>
      </c>
    </row>
    <row r="490" ht="57" customHeight="1" spans="1:8">
      <c r="A490" s="20" t="s">
        <v>1702</v>
      </c>
      <c r="B490" s="6" t="s">
        <v>515</v>
      </c>
      <c r="C490" s="6" t="s">
        <v>1703</v>
      </c>
      <c r="D490" s="6" t="s">
        <v>1704</v>
      </c>
      <c r="E490" s="6" t="s">
        <v>1705</v>
      </c>
      <c r="F490" s="6" t="str">
        <f>_xlfn.DISPIMG("ID_126A7350451349E9BF34E0B22139E121",1)</f>
        <v>=DISPIMG("ID_126A7350451349E9BF34E0B22139E121",1)</v>
      </c>
      <c r="G490" s="6" t="s">
        <v>44</v>
      </c>
      <c r="H490" s="17">
        <v>2</v>
      </c>
    </row>
    <row r="491" ht="57" customHeight="1" spans="1:8">
      <c r="A491" s="20" t="s">
        <v>1706</v>
      </c>
      <c r="B491" s="6" t="s">
        <v>1707</v>
      </c>
      <c r="C491" s="6" t="s">
        <v>1708</v>
      </c>
      <c r="D491" s="6" t="s">
        <v>1709</v>
      </c>
      <c r="E491" s="6" t="s">
        <v>1710</v>
      </c>
      <c r="F491" s="6" t="str">
        <f>_xlfn.DISPIMG("ID_AEB400C529724B92BC74BF2152F7907F",1)</f>
        <v>=DISPIMG("ID_AEB400C529724B92BC74BF2152F7907F",1)</v>
      </c>
      <c r="G491" s="6" t="s">
        <v>14</v>
      </c>
      <c r="H491" s="17">
        <v>13</v>
      </c>
    </row>
    <row r="492" ht="57" customHeight="1" spans="1:8">
      <c r="A492" s="20" t="s">
        <v>1711</v>
      </c>
      <c r="B492" s="6" t="s">
        <v>1712</v>
      </c>
      <c r="C492" s="6" t="s">
        <v>1713</v>
      </c>
      <c r="D492" s="6" t="s">
        <v>12</v>
      </c>
      <c r="E492" s="6" t="s">
        <v>1713</v>
      </c>
      <c r="F492" s="6" t="str">
        <f>_xlfn.DISPIMG("ID_9A503FB8970A4989A0B1F77A44673265",1)</f>
        <v>=DISPIMG("ID_9A503FB8970A4989A0B1F77A44673265",1)</v>
      </c>
      <c r="G492" s="17" t="s">
        <v>44</v>
      </c>
      <c r="H492" s="17">
        <v>1</v>
      </c>
    </row>
    <row r="493" ht="57" customHeight="1" spans="1:8">
      <c r="A493" s="20" t="s">
        <v>1714</v>
      </c>
      <c r="B493" s="6" t="s">
        <v>1715</v>
      </c>
      <c r="C493" s="6" t="s">
        <v>1716</v>
      </c>
      <c r="D493" s="6" t="s">
        <v>1717</v>
      </c>
      <c r="E493" s="6" t="s">
        <v>1718</v>
      </c>
      <c r="F493" s="6" t="str">
        <f>_xlfn.DISPIMG("ID_AB1AD8EC81BD4BF78BF4B2001B9CB988",1)</f>
        <v>=DISPIMG("ID_AB1AD8EC81BD4BF78BF4B2001B9CB988",1)</v>
      </c>
      <c r="G493" s="17" t="s">
        <v>44</v>
      </c>
      <c r="H493" s="17">
        <v>3</v>
      </c>
    </row>
    <row r="494" ht="57" customHeight="1" spans="1:8">
      <c r="A494" s="20" t="s">
        <v>1719</v>
      </c>
      <c r="B494" s="6" t="s">
        <v>1715</v>
      </c>
      <c r="C494" s="6" t="s">
        <v>1720</v>
      </c>
      <c r="D494" s="6" t="s">
        <v>1717</v>
      </c>
      <c r="E494" s="6" t="s">
        <v>1721</v>
      </c>
      <c r="F494" s="6" t="str">
        <f>_xlfn.DISPIMG("ID_DD869FACB4EC41AA8831355259B53723",1)</f>
        <v>=DISPIMG("ID_DD869FACB4EC41AA8831355259B53723",1)</v>
      </c>
      <c r="G494" s="17" t="s">
        <v>14</v>
      </c>
      <c r="H494" s="17">
        <v>3</v>
      </c>
    </row>
    <row r="495" ht="57" customHeight="1" spans="1:8">
      <c r="A495" s="25" t="s">
        <v>1722</v>
      </c>
      <c r="B495" s="26" t="s">
        <v>1723</v>
      </c>
      <c r="C495" s="25" t="s">
        <v>1724</v>
      </c>
      <c r="D495" s="26" t="s">
        <v>1725</v>
      </c>
      <c r="E495" s="26" t="s">
        <v>1726</v>
      </c>
      <c r="F495" s="26" t="str">
        <f>_xlfn.DISPIMG("ID_04CF143C3F8E4A5CA5BD79906FB37F1D",1)</f>
        <v>=DISPIMG("ID_04CF143C3F8E4A5CA5BD79906FB37F1D",1)</v>
      </c>
      <c r="G495" s="26" t="s">
        <v>44</v>
      </c>
      <c r="H495" s="26">
        <v>2</v>
      </c>
    </row>
    <row r="496" ht="57" customHeight="1" spans="1:8">
      <c r="A496" s="25" t="s">
        <v>1727</v>
      </c>
      <c r="B496" s="26" t="s">
        <v>1728</v>
      </c>
      <c r="C496" s="25" t="s">
        <v>1729</v>
      </c>
      <c r="D496" s="26" t="s">
        <v>12</v>
      </c>
      <c r="E496" s="25" t="s">
        <v>1730</v>
      </c>
      <c r="F496" s="26" t="str">
        <f>_xlfn.DISPIMG("ID_C624589425E048A39183738E40D61F77",1)</f>
        <v>=DISPIMG("ID_C624589425E048A39183738E40D61F77",1)</v>
      </c>
      <c r="G496" s="26" t="s">
        <v>44</v>
      </c>
      <c r="H496" s="26">
        <v>1</v>
      </c>
    </row>
    <row r="497" ht="57" customHeight="1" spans="1:8">
      <c r="A497" s="25" t="s">
        <v>1731</v>
      </c>
      <c r="B497" s="26" t="s">
        <v>1728</v>
      </c>
      <c r="C497" s="25" t="s">
        <v>1732</v>
      </c>
      <c r="D497" s="26" t="s">
        <v>1733</v>
      </c>
      <c r="E497" s="25" t="s">
        <v>1734</v>
      </c>
      <c r="F497" s="26" t="str">
        <f>_xlfn.DISPIMG("ID_4BAB934F230946CD9BABEF27BA503FBB",1)</f>
        <v>=DISPIMG("ID_4BAB934F230946CD9BABEF27BA503FBB",1)</v>
      </c>
      <c r="G497" s="26" t="s">
        <v>44</v>
      </c>
      <c r="H497" s="26">
        <v>1</v>
      </c>
    </row>
    <row r="498" ht="57" customHeight="1" spans="1:8">
      <c r="A498" s="25" t="s">
        <v>1735</v>
      </c>
      <c r="B498" s="26" t="s">
        <v>1736</v>
      </c>
      <c r="C498" s="25" t="s">
        <v>1737</v>
      </c>
      <c r="D498" s="26" t="s">
        <v>48</v>
      </c>
      <c r="E498" s="26" t="s">
        <v>1738</v>
      </c>
      <c r="F498" s="26" t="str">
        <f>_xlfn.DISPIMG("ID_1227E4C7EA3E416B9EFD143E3E7C90BD",1)</f>
        <v>=DISPIMG("ID_1227E4C7EA3E416B9EFD143E3E7C90BD",1)</v>
      </c>
      <c r="G498" s="26" t="s">
        <v>44</v>
      </c>
      <c r="H498" s="26">
        <v>2</v>
      </c>
    </row>
    <row r="499" ht="57" customHeight="1" spans="1:8">
      <c r="A499" s="25" t="s">
        <v>1739</v>
      </c>
      <c r="B499" s="26" t="s">
        <v>1740</v>
      </c>
      <c r="C499" s="25" t="s">
        <v>1741</v>
      </c>
      <c r="D499" s="26" t="s">
        <v>1742</v>
      </c>
      <c r="E499" s="26" t="s">
        <v>1743</v>
      </c>
      <c r="F499" s="26" t="str">
        <f>_xlfn.DISPIMG("ID_B8C1B0B0E5E540F99019F5B5AE4F4D4C",1)</f>
        <v>=DISPIMG("ID_B8C1B0B0E5E540F99019F5B5AE4F4D4C",1)</v>
      </c>
      <c r="G499" s="26" t="s">
        <v>14</v>
      </c>
      <c r="H499" s="26">
        <v>6</v>
      </c>
    </row>
    <row r="500" ht="57" customHeight="1" spans="1:8">
      <c r="A500" s="25" t="s">
        <v>1744</v>
      </c>
      <c r="B500" s="26" t="s">
        <v>1745</v>
      </c>
      <c r="C500" s="25">
        <v>2901</v>
      </c>
      <c r="D500" s="25" t="s">
        <v>1186</v>
      </c>
      <c r="E500" s="25" t="s">
        <v>1746</v>
      </c>
      <c r="F500" s="25" t="str">
        <f>_xlfn.DISPIMG("ID_DFF4C3EF219545749149EB0FF0C3399E",1)</f>
        <v>=DISPIMG("ID_DFF4C3EF219545749149EB0FF0C3399E",1)</v>
      </c>
      <c r="G500" s="25" t="s">
        <v>685</v>
      </c>
      <c r="H500" s="25">
        <v>5</v>
      </c>
    </row>
    <row r="501" ht="57" customHeight="1" spans="1:8">
      <c r="A501" s="25" t="s">
        <v>1747</v>
      </c>
      <c r="B501" s="26" t="s">
        <v>1748</v>
      </c>
      <c r="C501" s="25" t="s">
        <v>1749</v>
      </c>
      <c r="D501" s="25" t="s">
        <v>12</v>
      </c>
      <c r="E501" s="25" t="s">
        <v>1750</v>
      </c>
      <c r="F501" s="25" t="str">
        <f>_xlfn.DISPIMG("ID_B3C57269FCEA4AF691A551DEA5EF5014",1)</f>
        <v>=DISPIMG("ID_B3C57269FCEA4AF691A551DEA5EF5014",1)</v>
      </c>
      <c r="G501" s="25" t="s">
        <v>44</v>
      </c>
      <c r="H501" s="25">
        <v>14</v>
      </c>
    </row>
    <row r="502" ht="57" customHeight="1" spans="1:8">
      <c r="A502" s="25" t="s">
        <v>1751</v>
      </c>
      <c r="B502" s="26" t="s">
        <v>1328</v>
      </c>
      <c r="C502" s="70">
        <v>2016012203852550</v>
      </c>
      <c r="D502" s="25" t="s">
        <v>12</v>
      </c>
      <c r="E502" s="25" t="s">
        <v>1752</v>
      </c>
      <c r="F502" s="25" t="str">
        <f>_xlfn.DISPIMG("ID_EBA7E236FE30410E93D9CBF33B29189F",1)</f>
        <v>=DISPIMG("ID_EBA7E236FE30410E93D9CBF33B29189F",1)</v>
      </c>
      <c r="G502" s="25" t="s">
        <v>44</v>
      </c>
      <c r="H502" s="25">
        <v>3</v>
      </c>
    </row>
    <row r="503" ht="57" customHeight="1" spans="1:8">
      <c r="A503" s="25" t="s">
        <v>1753</v>
      </c>
      <c r="B503" s="26" t="s">
        <v>687</v>
      </c>
      <c r="C503" s="91" t="s">
        <v>1754</v>
      </c>
      <c r="D503" s="25" t="s">
        <v>1755</v>
      </c>
      <c r="E503" s="25" t="s">
        <v>1756</v>
      </c>
      <c r="F503" s="25" t="str">
        <f>_xlfn.DISPIMG("ID_77D9282D3CE54289AD7F1C10F8E1594F",1)</f>
        <v>=DISPIMG("ID_77D9282D3CE54289AD7F1C10F8E1594F",1)</v>
      </c>
      <c r="G503" s="25" t="s">
        <v>44</v>
      </c>
      <c r="H503" s="25">
        <v>6</v>
      </c>
    </row>
    <row r="504" ht="57" customHeight="1" spans="1:8">
      <c r="A504" s="25" t="s">
        <v>1757</v>
      </c>
      <c r="B504" s="26" t="s">
        <v>1035</v>
      </c>
      <c r="C504" s="25">
        <v>2100</v>
      </c>
      <c r="D504" s="25" t="s">
        <v>887</v>
      </c>
      <c r="E504" s="25" t="s">
        <v>1758</v>
      </c>
      <c r="F504" s="25" t="str">
        <f>_xlfn.DISPIMG("ID_6B52B926BB1E451C8BF9EB484E6B1E40",1)</f>
        <v>=DISPIMG("ID_6B52B926BB1E451C8BF9EB484E6B1E40",1)</v>
      </c>
      <c r="G504" s="25" t="s">
        <v>44</v>
      </c>
      <c r="H504" s="25">
        <v>4</v>
      </c>
    </row>
    <row r="505" ht="57" customHeight="1" spans="1:8">
      <c r="A505" s="71" t="s">
        <v>1759</v>
      </c>
      <c r="B505" s="26" t="s">
        <v>323</v>
      </c>
      <c r="C505" s="25" t="s">
        <v>1760</v>
      </c>
      <c r="D505" s="25" t="s">
        <v>1761</v>
      </c>
      <c r="E505" s="25" t="s">
        <v>1762</v>
      </c>
      <c r="F505" s="25" t="str">
        <f>_xlfn.DISPIMG("ID_932A724A47474AC3A0939B8128FAD826",1)</f>
        <v>=DISPIMG("ID_932A724A47474AC3A0939B8128FAD826",1)</v>
      </c>
      <c r="G505" s="25" t="s">
        <v>44</v>
      </c>
      <c r="H505" s="25">
        <v>2</v>
      </c>
    </row>
    <row r="506" ht="57" customHeight="1" spans="1:8">
      <c r="A506" s="25" t="s">
        <v>1763</v>
      </c>
      <c r="B506" s="26" t="s">
        <v>779</v>
      </c>
      <c r="C506" s="70">
        <v>2019012202209990</v>
      </c>
      <c r="D506" s="25" t="s">
        <v>1764</v>
      </c>
      <c r="E506" s="25" t="s">
        <v>1765</v>
      </c>
      <c r="F506" s="25" t="str">
        <f>_xlfn.DISPIMG("ID_8FA6EE5EE82148DDA19578808D78BC74",1)</f>
        <v>=DISPIMG("ID_8FA6EE5EE82148DDA19578808D78BC74",1)</v>
      </c>
      <c r="G506" s="25" t="s">
        <v>44</v>
      </c>
      <c r="H506" s="25">
        <v>4</v>
      </c>
    </row>
    <row r="507" ht="57" customHeight="1" spans="1:8">
      <c r="A507" s="25" t="s">
        <v>1766</v>
      </c>
      <c r="B507" s="26" t="s">
        <v>1767</v>
      </c>
      <c r="C507" s="70">
        <v>2021012202369120</v>
      </c>
      <c r="D507" s="25" t="s">
        <v>728</v>
      </c>
      <c r="E507" s="25" t="s">
        <v>1768</v>
      </c>
      <c r="F507" s="25" t="str">
        <f>_xlfn.DISPIMG("ID_56A1EBFA3EEB4254809EE541A41DC5EF",1)</f>
        <v>=DISPIMG("ID_56A1EBFA3EEB4254809EE541A41DC5EF",1)</v>
      </c>
      <c r="G507" s="25" t="s">
        <v>44</v>
      </c>
      <c r="H507" s="25">
        <v>3</v>
      </c>
    </row>
    <row r="508" ht="57" customHeight="1" spans="1:8">
      <c r="A508" s="25" t="s">
        <v>1769</v>
      </c>
      <c r="B508" s="26" t="s">
        <v>1770</v>
      </c>
      <c r="C508" s="25" t="s">
        <v>1771</v>
      </c>
      <c r="D508" s="25" t="s">
        <v>1772</v>
      </c>
      <c r="E508" s="25"/>
      <c r="F508" s="25" t="str">
        <f>_xlfn.DISPIMG("ID_5458E2A12057408EB5A1C2E6FF5315BC",1)</f>
        <v>=DISPIMG("ID_5458E2A12057408EB5A1C2E6FF5315BC",1)</v>
      </c>
      <c r="G508" s="25" t="s">
        <v>44</v>
      </c>
      <c r="H508" s="25">
        <v>4</v>
      </c>
    </row>
    <row r="509" ht="57" customHeight="1" spans="1:8">
      <c r="A509" s="25" t="s">
        <v>1773</v>
      </c>
      <c r="B509" s="26" t="s">
        <v>800</v>
      </c>
      <c r="C509" s="25" t="s">
        <v>1774</v>
      </c>
      <c r="D509" s="25" t="s">
        <v>12</v>
      </c>
      <c r="E509" s="25" t="s">
        <v>1775</v>
      </c>
      <c r="F509" s="25" t="str">
        <f>_xlfn.DISPIMG("ID_47FCBD4BE041456DAECEF5CCDC438514",1)</f>
        <v>=DISPIMG("ID_47FCBD4BE041456DAECEF5CCDC438514",1)</v>
      </c>
      <c r="G509" s="25" t="s">
        <v>44</v>
      </c>
      <c r="H509" s="25">
        <v>1</v>
      </c>
    </row>
    <row r="510" ht="57" customHeight="1" spans="1:8">
      <c r="A510" s="25" t="s">
        <v>1776</v>
      </c>
      <c r="B510" s="26" t="s">
        <v>1777</v>
      </c>
      <c r="C510" s="25" t="s">
        <v>1778</v>
      </c>
      <c r="D510" s="25" t="s">
        <v>887</v>
      </c>
      <c r="E510" s="25" t="s">
        <v>1779</v>
      </c>
      <c r="F510" s="25" t="str">
        <f>_xlfn.DISPIMG("ID_07F8846F390F453BBFBED6C87461CA26",1)</f>
        <v>=DISPIMG("ID_07F8846F390F453BBFBED6C87461CA26",1)</v>
      </c>
      <c r="G510" s="25" t="s">
        <v>44</v>
      </c>
      <c r="H510" s="25">
        <v>5</v>
      </c>
    </row>
    <row r="511" ht="57" customHeight="1" spans="1:8">
      <c r="A511" s="25" t="s">
        <v>1780</v>
      </c>
      <c r="B511" s="26" t="s">
        <v>1781</v>
      </c>
      <c r="C511" s="25" t="s">
        <v>1782</v>
      </c>
      <c r="D511" s="26" t="s">
        <v>68</v>
      </c>
      <c r="E511" s="26" t="s">
        <v>1783</v>
      </c>
      <c r="F511" s="26" t="str">
        <f>_xlfn.DISPIMG("ID_811B5542100C4EA096202D77985F823D",1)</f>
        <v>=DISPIMG("ID_811B5542100C4EA096202D77985F823D",1)</v>
      </c>
      <c r="G511" s="26" t="s">
        <v>44</v>
      </c>
      <c r="H511" s="26">
        <v>7</v>
      </c>
    </row>
    <row r="512" ht="57" customHeight="1" spans="1:8">
      <c r="A512" s="25" t="s">
        <v>1784</v>
      </c>
      <c r="B512" s="25" t="s">
        <v>1297</v>
      </c>
      <c r="C512" s="25" t="s">
        <v>1785</v>
      </c>
      <c r="D512" s="25" t="s">
        <v>1786</v>
      </c>
      <c r="E512" s="25" t="s">
        <v>1787</v>
      </c>
      <c r="F512" s="26" t="str">
        <f>_xlfn.DISPIMG("ID_33877954DBB0413EB7F9DA30877BAEA0",1)</f>
        <v>=DISPIMG("ID_33877954DBB0413EB7F9DA30877BAEA0",1)</v>
      </c>
      <c r="G512" s="26" t="s">
        <v>44</v>
      </c>
      <c r="H512" s="26">
        <v>4</v>
      </c>
    </row>
    <row r="513" ht="57" customHeight="1" spans="1:8">
      <c r="A513" s="72" t="s">
        <v>1788</v>
      </c>
      <c r="B513" s="73" t="s">
        <v>1789</v>
      </c>
      <c r="C513" s="74" t="s">
        <v>1790</v>
      </c>
      <c r="D513" s="73" t="s">
        <v>68</v>
      </c>
      <c r="E513" s="74"/>
      <c r="F513" s="73" t="str">
        <f>_xlfn.DISPIMG("ID_D72899EFCD434F79944E14F6384AAE4A",1)</f>
        <v>=DISPIMG("ID_D72899EFCD434F79944E14F6384AAE4A",1)</v>
      </c>
      <c r="G513" s="73" t="s">
        <v>44</v>
      </c>
      <c r="H513" s="73">
        <v>4</v>
      </c>
    </row>
    <row r="514" ht="57" customHeight="1" spans="1:8">
      <c r="A514" s="25" t="s">
        <v>1791</v>
      </c>
      <c r="B514" s="26" t="s">
        <v>1792</v>
      </c>
      <c r="C514" s="75" t="s">
        <v>1793</v>
      </c>
      <c r="D514" s="26" t="s">
        <v>68</v>
      </c>
      <c r="E514" s="26" t="s">
        <v>1794</v>
      </c>
      <c r="F514" s="26" t="str">
        <f>_xlfn.DISPIMG("ID_B69458E35A924AC3AB5FD26E2D1C55B9",1)</f>
        <v>=DISPIMG("ID_B69458E35A924AC3AB5FD26E2D1C55B9",1)</v>
      </c>
      <c r="G514" s="26" t="s">
        <v>456</v>
      </c>
      <c r="H514" s="26">
        <v>90</v>
      </c>
    </row>
    <row r="515" ht="57" customHeight="1" spans="1:8">
      <c r="A515" s="25" t="s">
        <v>1795</v>
      </c>
      <c r="B515" s="26" t="s">
        <v>1792</v>
      </c>
      <c r="C515" s="76" t="s">
        <v>1796</v>
      </c>
      <c r="D515" s="26" t="s">
        <v>68</v>
      </c>
      <c r="E515" s="26" t="s">
        <v>1797</v>
      </c>
      <c r="F515" s="26" t="str">
        <f>_xlfn.DISPIMG("ID_A22558F3CCF1435C961CF3DA6D3EFAD5",1)</f>
        <v>=DISPIMG("ID_A22558F3CCF1435C961CF3DA6D3EFAD5",1)</v>
      </c>
      <c r="G515" s="26" t="s">
        <v>456</v>
      </c>
      <c r="H515" s="26">
        <v>60</v>
      </c>
    </row>
    <row r="516" ht="57" customHeight="1" spans="1:8">
      <c r="A516" s="25" t="s">
        <v>1798</v>
      </c>
      <c r="B516" s="26" t="s">
        <v>1792</v>
      </c>
      <c r="C516" s="76" t="s">
        <v>1793</v>
      </c>
      <c r="D516" s="26" t="s">
        <v>68</v>
      </c>
      <c r="E516" s="26" t="s">
        <v>1794</v>
      </c>
      <c r="F516" s="26" t="str">
        <f>_xlfn.DISPIMG("ID_8AF4BAE73B124929B87C35BFA88BC8CC",1)</f>
        <v>=DISPIMG("ID_8AF4BAE73B124929B87C35BFA88BC8CC",1)</v>
      </c>
      <c r="G516" s="26" t="s">
        <v>456</v>
      </c>
      <c r="H516" s="26">
        <v>20</v>
      </c>
    </row>
    <row r="517" ht="57" customHeight="1" spans="1:8">
      <c r="A517" s="27" t="s">
        <v>1799</v>
      </c>
      <c r="B517" s="26" t="s">
        <v>1800</v>
      </c>
      <c r="C517" s="77" t="s">
        <v>1801</v>
      </c>
      <c r="D517" s="26" t="s">
        <v>1134</v>
      </c>
      <c r="E517" s="26" t="s">
        <v>1802</v>
      </c>
      <c r="F517" s="26" t="str">
        <f>_xlfn.DISPIMG("ID_D5C403E59255443EA8B2EC52F35F7B2D",1)</f>
        <v>=DISPIMG("ID_D5C403E59255443EA8B2EC52F35F7B2D",1)</v>
      </c>
      <c r="G517" s="26" t="s">
        <v>903</v>
      </c>
      <c r="H517" s="26">
        <v>2</v>
      </c>
    </row>
    <row r="518" ht="57" customHeight="1" spans="1:8">
      <c r="A518" s="27" t="s">
        <v>1803</v>
      </c>
      <c r="B518" s="26" t="s">
        <v>1800</v>
      </c>
      <c r="C518" s="25" t="s">
        <v>1804</v>
      </c>
      <c r="D518" s="26" t="s">
        <v>1805</v>
      </c>
      <c r="E518" s="26" t="s">
        <v>1806</v>
      </c>
      <c r="F518" s="26" t="str">
        <f>_xlfn.DISPIMG("ID_B4F73605BC064E7FB5A63455B09E9654",1)</f>
        <v>=DISPIMG("ID_B4F73605BC064E7FB5A63455B09E9654",1)</v>
      </c>
      <c r="G518" s="26" t="s">
        <v>903</v>
      </c>
      <c r="H518" s="26">
        <v>2</v>
      </c>
    </row>
    <row r="519" ht="57" customHeight="1" spans="1:8">
      <c r="A519" s="27" t="s">
        <v>1807</v>
      </c>
      <c r="B519" s="26" t="s">
        <v>1800</v>
      </c>
      <c r="C519" s="25" t="s">
        <v>1132</v>
      </c>
      <c r="D519" s="26" t="s">
        <v>1134</v>
      </c>
      <c r="E519" s="26" t="s">
        <v>1802</v>
      </c>
      <c r="F519" s="26" t="str">
        <f>_xlfn.DISPIMG("ID_49F90250D6674F20922891C66653DEAE",1)</f>
        <v>=DISPIMG("ID_49F90250D6674F20922891C66653DEAE",1)</v>
      </c>
      <c r="G519" s="26" t="s">
        <v>903</v>
      </c>
      <c r="H519" s="26">
        <v>2</v>
      </c>
    </row>
    <row r="520" ht="57" customHeight="1" spans="1:8">
      <c r="A520" s="27" t="s">
        <v>1808</v>
      </c>
      <c r="B520" s="26" t="s">
        <v>1800</v>
      </c>
      <c r="C520" s="25" t="s">
        <v>1136</v>
      </c>
      <c r="D520" s="26" t="s">
        <v>1134</v>
      </c>
      <c r="E520" s="26" t="s">
        <v>1802</v>
      </c>
      <c r="F520" s="26" t="str">
        <f>_xlfn.DISPIMG("ID_6D70448CEE1342E0A46E292C02D76D39",1)</f>
        <v>=DISPIMG("ID_6D70448CEE1342E0A46E292C02D76D39",1)</v>
      </c>
      <c r="G520" s="26" t="s">
        <v>903</v>
      </c>
      <c r="H520" s="26">
        <v>2</v>
      </c>
    </row>
    <row r="521" ht="57" customHeight="1" spans="1:8">
      <c r="A521" s="27" t="s">
        <v>1809</v>
      </c>
      <c r="B521" s="26" t="s">
        <v>1800</v>
      </c>
      <c r="C521" s="25" t="s">
        <v>1810</v>
      </c>
      <c r="D521" s="26" t="s">
        <v>1134</v>
      </c>
      <c r="E521" s="26" t="s">
        <v>1811</v>
      </c>
      <c r="F521" s="26" t="str">
        <f>_xlfn.DISPIMG("ID_45506C023A664AC184B6082736C67F7E",1)</f>
        <v>=DISPIMG("ID_45506C023A664AC184B6082736C67F7E",1)</v>
      </c>
      <c r="G521" s="26" t="s">
        <v>903</v>
      </c>
      <c r="H521" s="26">
        <v>2</v>
      </c>
    </row>
    <row r="522" ht="57" customHeight="1" spans="1:8">
      <c r="A522" s="6" t="s">
        <v>1812</v>
      </c>
      <c r="B522" s="78" t="s">
        <v>1813</v>
      </c>
      <c r="C522" s="79" t="s">
        <v>1814</v>
      </c>
      <c r="D522" s="79" t="s">
        <v>1815</v>
      </c>
      <c r="E522" s="78" t="s">
        <v>1816</v>
      </c>
      <c r="F522" s="6" t="str">
        <f>_xlfn.DISPIMG("ID_31B17C30905E453A91B26828E8F93372",1)</f>
        <v>=DISPIMG("ID_31B17C30905E453A91B26828E8F93372",1)</v>
      </c>
      <c r="G522" s="6" t="s">
        <v>44</v>
      </c>
      <c r="H522" s="6">
        <v>2</v>
      </c>
    </row>
    <row r="523" ht="57" customHeight="1" spans="1:8">
      <c r="A523" s="6" t="s">
        <v>1817</v>
      </c>
      <c r="B523" s="6" t="s">
        <v>1818</v>
      </c>
      <c r="C523" s="78" t="s">
        <v>1819</v>
      </c>
      <c r="D523" s="78" t="s">
        <v>12</v>
      </c>
      <c r="E523" s="78" t="s">
        <v>1820</v>
      </c>
      <c r="F523" s="40" t="str">
        <f>_xlfn.DISPIMG("ID_E565DDA5B04B4F6CAD7D5AF31D3F0594",1)</f>
        <v>=DISPIMG("ID_E565DDA5B04B4F6CAD7D5AF31D3F0594",1)</v>
      </c>
      <c r="G523" s="6" t="s">
        <v>44</v>
      </c>
      <c r="H523" s="17">
        <v>2</v>
      </c>
    </row>
    <row r="524" ht="57" customHeight="1" spans="1:8">
      <c r="A524" s="6" t="s">
        <v>1821</v>
      </c>
      <c r="B524" s="5" t="s">
        <v>1822</v>
      </c>
      <c r="C524" s="78" t="s">
        <v>1823</v>
      </c>
      <c r="D524" s="78" t="s">
        <v>12</v>
      </c>
      <c r="E524" s="78" t="s">
        <v>1824</v>
      </c>
      <c r="F524" s="17" t="str">
        <f>_xlfn.DISPIMG("ID_B9F44D27514542BA82D9F0140BB329BF",1)</f>
        <v>=DISPIMG("ID_B9F44D27514542BA82D9F0140BB329BF",1)</v>
      </c>
      <c r="G524" s="17" t="s">
        <v>44</v>
      </c>
      <c r="H524" s="17">
        <v>2</v>
      </c>
    </row>
    <row r="525" ht="57" customHeight="1" spans="1:8">
      <c r="A525" s="6" t="s">
        <v>1825</v>
      </c>
      <c r="B525" s="5" t="s">
        <v>1826</v>
      </c>
      <c r="C525" s="79" t="s">
        <v>1827</v>
      </c>
      <c r="D525" s="78" t="s">
        <v>1828</v>
      </c>
      <c r="E525" s="78" t="s">
        <v>1829</v>
      </c>
      <c r="F525" s="17" t="str">
        <f>_xlfn.DISPIMG("ID_86E747EF2E6345B2AB83B17A37406615",1)</f>
        <v>=DISPIMG("ID_86E747EF2E6345B2AB83B17A37406615",1)</v>
      </c>
      <c r="G525" s="17" t="s">
        <v>44</v>
      </c>
      <c r="H525" s="17">
        <v>1</v>
      </c>
    </row>
    <row r="526" ht="57" customHeight="1" spans="1:8">
      <c r="A526" s="5" t="s">
        <v>1830</v>
      </c>
      <c r="B526" s="40" t="s">
        <v>336</v>
      </c>
      <c r="C526" s="78" t="s">
        <v>1831</v>
      </c>
      <c r="D526" s="78" t="s">
        <v>664</v>
      </c>
      <c r="E526" s="78" t="s">
        <v>1832</v>
      </c>
      <c r="F526" s="40" t="str">
        <f>_xlfn.DISPIMG("ID_65C58914F76744598B32636A537EDF74",1)</f>
        <v>=DISPIMG("ID_65C58914F76744598B32636A537EDF74",1)</v>
      </c>
      <c r="G526" s="17" t="s">
        <v>14</v>
      </c>
      <c r="H526" s="17">
        <v>4</v>
      </c>
    </row>
    <row r="527" ht="57" customHeight="1" spans="1:8">
      <c r="A527" s="5" t="s">
        <v>1833</v>
      </c>
      <c r="B527" s="5" t="s">
        <v>1834</v>
      </c>
      <c r="C527" s="78" t="s">
        <v>1835</v>
      </c>
      <c r="D527" s="78" t="s">
        <v>664</v>
      </c>
      <c r="E527" s="78" t="s">
        <v>1836</v>
      </c>
      <c r="F527" s="40" t="str">
        <f>_xlfn.DISPIMG("ID_74EF3D8CCD424118858DCBCAE0236BEF",1)</f>
        <v>=DISPIMG("ID_74EF3D8CCD424118858DCBCAE0236BEF",1)</v>
      </c>
      <c r="G527" s="17" t="s">
        <v>44</v>
      </c>
      <c r="H527" s="17">
        <v>4</v>
      </c>
    </row>
    <row r="528" ht="57" customHeight="1" spans="1:8">
      <c r="A528" s="5" t="s">
        <v>1837</v>
      </c>
      <c r="B528" s="5" t="s">
        <v>1838</v>
      </c>
      <c r="C528" s="78" t="s">
        <v>1839</v>
      </c>
      <c r="D528" s="78" t="s">
        <v>1840</v>
      </c>
      <c r="E528" s="78" t="s">
        <v>1841</v>
      </c>
      <c r="F528" s="40" t="str">
        <f>_xlfn.DISPIMG("ID_58C772901C1748D9A7BBFC8C24E06426",1)</f>
        <v>=DISPIMG("ID_58C772901C1748D9A7BBFC8C24E06426",1)</v>
      </c>
      <c r="G528" s="17" t="s">
        <v>408</v>
      </c>
      <c r="H528" s="17">
        <v>5</v>
      </c>
    </row>
    <row r="529" ht="57" customHeight="1" spans="1:8">
      <c r="A529" s="80" t="s">
        <v>1842</v>
      </c>
      <c r="B529" s="80" t="s">
        <v>1843</v>
      </c>
      <c r="C529" s="80" t="s">
        <v>1844</v>
      </c>
      <c r="D529" s="80" t="s">
        <v>68</v>
      </c>
      <c r="E529" s="80" t="s">
        <v>1845</v>
      </c>
      <c r="F529" s="80" t="str">
        <f>_xlfn.DISPIMG("ID_C20F2B20557F4C6D83E3EAE7F8A626C3",1)</f>
        <v>=DISPIMG("ID_C20F2B20557F4C6D83E3EAE7F8A626C3",1)</v>
      </c>
      <c r="G529" s="80" t="s">
        <v>44</v>
      </c>
      <c r="H529" s="81">
        <v>3</v>
      </c>
    </row>
    <row r="530" ht="57" customHeight="1" spans="1:8">
      <c r="A530" s="80" t="s">
        <v>1846</v>
      </c>
      <c r="B530" s="80" t="s">
        <v>1006</v>
      </c>
      <c r="C530" s="80" t="s">
        <v>1847</v>
      </c>
      <c r="D530" s="80" t="s">
        <v>12</v>
      </c>
      <c r="E530" s="80">
        <v>1000</v>
      </c>
      <c r="F530" s="80" t="str">
        <f>_xlfn.DISPIMG("ID_31E10DF9EB4D4F469F15E7433EDEA580",1)</f>
        <v>=DISPIMG("ID_31E10DF9EB4D4F469F15E7433EDEA580",1)</v>
      </c>
      <c r="G530" s="80" t="s">
        <v>44</v>
      </c>
      <c r="H530" s="81">
        <v>6</v>
      </c>
    </row>
    <row r="531" ht="57" customHeight="1" spans="1:8">
      <c r="A531" s="80" t="s">
        <v>1848</v>
      </c>
      <c r="B531" s="80" t="s">
        <v>1849</v>
      </c>
      <c r="C531" s="80" t="s">
        <v>1850</v>
      </c>
      <c r="D531" s="80" t="s">
        <v>68</v>
      </c>
      <c r="E531" s="80" t="s">
        <v>1851</v>
      </c>
      <c r="F531" s="80" t="str">
        <f>_xlfn.DISPIMG("ID_0237293120494E939C10329C508AD489",1)</f>
        <v>=DISPIMG("ID_0237293120494E939C10329C508AD489",1)</v>
      </c>
      <c r="G531" s="80" t="s">
        <v>44</v>
      </c>
      <c r="H531" s="81">
        <v>5</v>
      </c>
    </row>
    <row r="532" ht="57" customHeight="1" spans="1:8">
      <c r="A532" s="80" t="s">
        <v>1852</v>
      </c>
      <c r="B532" s="80" t="s">
        <v>1284</v>
      </c>
      <c r="C532" s="80" t="s">
        <v>1853</v>
      </c>
      <c r="D532" s="80" t="s">
        <v>1854</v>
      </c>
      <c r="E532" s="80" t="s">
        <v>1855</v>
      </c>
      <c r="F532" s="80" t="str">
        <f>_xlfn.DISPIMG("ID_135DE889A54041C4B4F311DB4325FA70",1)</f>
        <v>=DISPIMG("ID_135DE889A54041C4B4F311DB4325FA70",1)</v>
      </c>
      <c r="G532" s="80" t="s">
        <v>44</v>
      </c>
      <c r="H532" s="81">
        <v>5</v>
      </c>
    </row>
    <row r="533" ht="57" customHeight="1" spans="1:8">
      <c r="A533" s="80" t="s">
        <v>1856</v>
      </c>
      <c r="B533" s="80" t="s">
        <v>1857</v>
      </c>
      <c r="C533" s="80" t="s">
        <v>1858</v>
      </c>
      <c r="D533" s="80" t="s">
        <v>68</v>
      </c>
      <c r="E533" s="80" t="s">
        <v>1859</v>
      </c>
      <c r="F533" s="80" t="str">
        <f>_xlfn.DISPIMG("ID_DCFC3ADD17D547E78C3289D0583E75FC",1)</f>
        <v>=DISPIMG("ID_DCFC3ADD17D547E78C3289D0583E75FC",1)</v>
      </c>
      <c r="G533" s="80" t="s">
        <v>44</v>
      </c>
      <c r="H533" s="81">
        <v>5</v>
      </c>
    </row>
    <row r="534" ht="57" customHeight="1" spans="1:8">
      <c r="A534" s="80" t="s">
        <v>1860</v>
      </c>
      <c r="B534" s="80" t="s">
        <v>1861</v>
      </c>
      <c r="C534" s="80" t="s">
        <v>1862</v>
      </c>
      <c r="D534" s="80" t="s">
        <v>12</v>
      </c>
      <c r="E534" s="80" t="s">
        <v>1863</v>
      </c>
      <c r="F534" s="80" t="str">
        <f>_xlfn.DISPIMG("ID_74A481423D544F3589203E997EA6FBF7",1)</f>
        <v>=DISPIMG("ID_74A481423D544F3589203E997EA6FBF7",1)</v>
      </c>
      <c r="G534" s="81" t="s">
        <v>14</v>
      </c>
      <c r="H534" s="81">
        <v>3</v>
      </c>
    </row>
    <row r="535" ht="57" customHeight="1" spans="1:8">
      <c r="A535" s="80" t="s">
        <v>1864</v>
      </c>
      <c r="B535" s="80" t="s">
        <v>497</v>
      </c>
      <c r="C535" s="80" t="s">
        <v>1865</v>
      </c>
      <c r="D535" s="80" t="s">
        <v>1755</v>
      </c>
      <c r="E535" s="80" t="s">
        <v>1866</v>
      </c>
      <c r="F535" s="80" t="str">
        <f>_xlfn.DISPIMG("ID_ED9AA9FCD98547839652BAFD10F99565",1)</f>
        <v>=DISPIMG("ID_ED9AA9FCD98547839652BAFD10F99565",1)</v>
      </c>
      <c r="G535" s="81" t="s">
        <v>44</v>
      </c>
      <c r="H535" s="81">
        <v>5</v>
      </c>
    </row>
    <row r="536" ht="57" customHeight="1" spans="1:8">
      <c r="A536" s="80" t="s">
        <v>1867</v>
      </c>
      <c r="B536" s="80" t="s">
        <v>1868</v>
      </c>
      <c r="C536" s="80" t="s">
        <v>1869</v>
      </c>
      <c r="D536" s="80" t="s">
        <v>1755</v>
      </c>
      <c r="E536" s="80" t="s">
        <v>1870</v>
      </c>
      <c r="F536" s="80" t="str">
        <f>_xlfn.DISPIMG("ID_857474C2D729469D92374E298D46F3DB",1)</f>
        <v>=DISPIMG("ID_857474C2D729469D92374E298D46F3DB",1)</v>
      </c>
      <c r="G536" s="81" t="s">
        <v>685</v>
      </c>
      <c r="H536" s="81">
        <v>2</v>
      </c>
    </row>
    <row r="537" ht="57" customHeight="1" spans="1:8">
      <c r="A537" s="80" t="s">
        <v>883</v>
      </c>
      <c r="B537" s="80" t="s">
        <v>880</v>
      </c>
      <c r="C537" s="80" t="s">
        <v>883</v>
      </c>
      <c r="D537" s="80" t="s">
        <v>12</v>
      </c>
      <c r="E537" s="80" t="s">
        <v>863</v>
      </c>
      <c r="F537" s="80" t="str">
        <f>_xlfn.DISPIMG("ID_ECFAB7A42645445397E646928D4DA485",1)</f>
        <v>=DISPIMG("ID_ECFAB7A42645445397E646928D4DA485",1)</v>
      </c>
      <c r="G537" s="82" t="s">
        <v>44</v>
      </c>
      <c r="H537" s="82">
        <v>1</v>
      </c>
    </row>
    <row r="538" ht="57" customHeight="1" spans="1:8">
      <c r="A538" s="80" t="s">
        <v>1871</v>
      </c>
      <c r="B538" s="80" t="s">
        <v>1872</v>
      </c>
      <c r="C538" s="80" t="s">
        <v>1873</v>
      </c>
      <c r="D538" s="80" t="s">
        <v>68</v>
      </c>
      <c r="E538" s="80" t="s">
        <v>863</v>
      </c>
      <c r="F538" s="80" t="str">
        <f>_xlfn.DISPIMG("ID_7829333AE175467D899CAD903B70A019",1)</f>
        <v>=DISPIMG("ID_7829333AE175467D899CAD903B70A019",1)</v>
      </c>
      <c r="G538" s="81" t="s">
        <v>44</v>
      </c>
      <c r="H538" s="81">
        <v>1</v>
      </c>
    </row>
    <row r="539" ht="57" customHeight="1" spans="1:8">
      <c r="A539" s="80" t="s">
        <v>1874</v>
      </c>
      <c r="B539" s="80" t="s">
        <v>1276</v>
      </c>
      <c r="C539" s="80" t="s">
        <v>1874</v>
      </c>
      <c r="D539" s="80" t="s">
        <v>68</v>
      </c>
      <c r="E539" s="80" t="s">
        <v>863</v>
      </c>
      <c r="F539" s="80" t="str">
        <f>_xlfn.DISPIMG("ID_9E8A52D4BE5441508D3BDC6F953EA99B",1)</f>
        <v>=DISPIMG("ID_9E8A52D4BE5441508D3BDC6F953EA99B",1)</v>
      </c>
      <c r="G539" s="81" t="s">
        <v>44</v>
      </c>
      <c r="H539" s="81">
        <v>2</v>
      </c>
    </row>
    <row r="540" ht="57" customHeight="1" spans="1:8">
      <c r="A540" s="80" t="s">
        <v>1875</v>
      </c>
      <c r="B540" s="80" t="s">
        <v>1876</v>
      </c>
      <c r="C540" s="80" t="s">
        <v>1875</v>
      </c>
      <c r="D540" s="80" t="s">
        <v>1755</v>
      </c>
      <c r="E540" s="80" t="s">
        <v>1877</v>
      </c>
      <c r="F540" s="80" t="str">
        <f>_xlfn.DISPIMG("ID_7FA686FBBF35406BA61A6E77AF5B348C",1)</f>
        <v>=DISPIMG("ID_7FA686FBBF35406BA61A6E77AF5B348C",1)</v>
      </c>
      <c r="G540" s="81" t="s">
        <v>14</v>
      </c>
      <c r="H540" s="81">
        <v>2</v>
      </c>
    </row>
    <row r="541" ht="57" customHeight="1" spans="1:8">
      <c r="A541" s="80" t="s">
        <v>1878</v>
      </c>
      <c r="B541" s="80" t="s">
        <v>1879</v>
      </c>
      <c r="C541" s="80" t="s">
        <v>1880</v>
      </c>
      <c r="D541" s="80" t="s">
        <v>1755</v>
      </c>
      <c r="E541" s="80" t="s">
        <v>1881</v>
      </c>
      <c r="F541" s="80" t="str">
        <f>_xlfn.DISPIMG("ID_106ACB7315864E419A05DC5E8724BF30",1)</f>
        <v>=DISPIMG("ID_106ACB7315864E419A05DC5E8724BF30",1)</v>
      </c>
      <c r="G541" s="80" t="s">
        <v>14</v>
      </c>
      <c r="H541" s="80">
        <v>2</v>
      </c>
    </row>
    <row r="542" ht="57" customHeight="1" spans="1:8">
      <c r="A542" s="80" t="s">
        <v>1882</v>
      </c>
      <c r="B542" s="80" t="s">
        <v>1883</v>
      </c>
      <c r="C542" s="80" t="s">
        <v>1884</v>
      </c>
      <c r="D542" s="80" t="s">
        <v>12</v>
      </c>
      <c r="E542" s="80" t="s">
        <v>863</v>
      </c>
      <c r="F542" s="80" t="str">
        <f>_xlfn.DISPIMG("ID_B9E9A0B05F5E407CB2645E051A670B77",1)</f>
        <v>=DISPIMG("ID_B9E9A0B05F5E407CB2645E051A670B77",1)</v>
      </c>
      <c r="G542" s="80" t="s">
        <v>14</v>
      </c>
      <c r="H542" s="80">
        <v>2</v>
      </c>
    </row>
    <row r="543" ht="57" customHeight="1" spans="1:8">
      <c r="A543" s="80" t="s">
        <v>1885</v>
      </c>
      <c r="B543" s="80" t="s">
        <v>1886</v>
      </c>
      <c r="C543" s="80" t="s">
        <v>1887</v>
      </c>
      <c r="D543" s="80" t="s">
        <v>1888</v>
      </c>
      <c r="E543" s="80" t="s">
        <v>1877</v>
      </c>
      <c r="F543" s="80" t="str">
        <f>_xlfn.DISPIMG("ID_79681BA647D346C595FAD139B683ADCF",1)</f>
        <v>=DISPIMG("ID_79681BA647D346C595FAD139B683ADCF",1)</v>
      </c>
      <c r="G543" s="81" t="s">
        <v>44</v>
      </c>
      <c r="H543" s="81">
        <v>2</v>
      </c>
    </row>
    <row r="544" ht="57" customHeight="1" spans="1:8">
      <c r="A544" s="80" t="s">
        <v>1889</v>
      </c>
      <c r="B544" s="80" t="s">
        <v>1890</v>
      </c>
      <c r="C544" s="80" t="s">
        <v>1891</v>
      </c>
      <c r="D544" s="80" t="s">
        <v>1888</v>
      </c>
      <c r="E544" s="80" t="s">
        <v>1877</v>
      </c>
      <c r="F544" s="80" t="str">
        <f>_xlfn.DISPIMG("ID_4F8C272EA11848DCA733B8637CFA6C16",1)</f>
        <v>=DISPIMG("ID_4F8C272EA11848DCA733B8637CFA6C16",1)</v>
      </c>
      <c r="G544" s="81" t="s">
        <v>44</v>
      </c>
      <c r="H544" s="81">
        <v>2</v>
      </c>
    </row>
    <row r="545" ht="57" customHeight="1" spans="1:8">
      <c r="A545" s="80" t="s">
        <v>1892</v>
      </c>
      <c r="B545" s="80" t="s">
        <v>1893</v>
      </c>
      <c r="C545" s="80" t="s">
        <v>1894</v>
      </c>
      <c r="D545" s="80" t="s">
        <v>1329</v>
      </c>
      <c r="E545" s="80" t="s">
        <v>1895</v>
      </c>
      <c r="F545" s="80" t="str">
        <f>_xlfn.DISPIMG("ID_8FB0DA4BD3E64F0DAB1AAE497853B090",1)</f>
        <v>=DISPIMG("ID_8FB0DA4BD3E64F0DAB1AAE497853B090",1)</v>
      </c>
      <c r="G545" s="81" t="s">
        <v>44</v>
      </c>
      <c r="H545" s="81">
        <v>1</v>
      </c>
    </row>
    <row r="546" ht="57" customHeight="1" spans="1:8">
      <c r="A546" s="80" t="s">
        <v>1896</v>
      </c>
      <c r="B546" s="80" t="s">
        <v>1893</v>
      </c>
      <c r="C546" s="80" t="s">
        <v>1897</v>
      </c>
      <c r="D546" s="80" t="s">
        <v>1329</v>
      </c>
      <c r="E546" s="81" t="s">
        <v>1895</v>
      </c>
      <c r="F546" s="80" t="str">
        <f>_xlfn.DISPIMG("ID_01FB9B8C0EC14ED48BA415B592B5F72E",1)</f>
        <v>=DISPIMG("ID_01FB9B8C0EC14ED48BA415B592B5F72E",1)</v>
      </c>
      <c r="G546" s="81" t="s">
        <v>44</v>
      </c>
      <c r="H546" s="81">
        <v>1</v>
      </c>
    </row>
    <row r="547" ht="57" customHeight="1" spans="1:8">
      <c r="A547" s="80" t="s">
        <v>1898</v>
      </c>
      <c r="B547" s="80" t="s">
        <v>1893</v>
      </c>
      <c r="C547" s="80" t="s">
        <v>1899</v>
      </c>
      <c r="D547" s="80" t="s">
        <v>1329</v>
      </c>
      <c r="E547" s="81" t="s">
        <v>1900</v>
      </c>
      <c r="F547" s="80" t="str">
        <f>_xlfn.DISPIMG("ID_FDD8BEFA4672400BA0CE0888D0258D19",1)</f>
        <v>=DISPIMG("ID_FDD8BEFA4672400BA0CE0888D0258D19",1)</v>
      </c>
      <c r="G547" s="81" t="s">
        <v>44</v>
      </c>
      <c r="H547" s="81">
        <v>1</v>
      </c>
    </row>
    <row r="548" ht="57" customHeight="1" spans="1:8">
      <c r="A548" s="80" t="s">
        <v>1901</v>
      </c>
      <c r="B548" s="80" t="s">
        <v>1902</v>
      </c>
      <c r="C548" s="80" t="s">
        <v>1903</v>
      </c>
      <c r="D548" s="80" t="s">
        <v>68</v>
      </c>
      <c r="E548" s="83" t="s">
        <v>863</v>
      </c>
      <c r="F548" s="80" t="str">
        <f>_xlfn.DISPIMG("ID_3E53984573F644588539F879C9EBEFE7",1)</f>
        <v>=DISPIMG("ID_3E53984573F644588539F879C9EBEFE7",1)</v>
      </c>
      <c r="G548" s="81" t="s">
        <v>442</v>
      </c>
      <c r="H548" s="81">
        <v>2</v>
      </c>
    </row>
    <row r="549" ht="57" customHeight="1" spans="1:8">
      <c r="A549" s="80" t="s">
        <v>1904</v>
      </c>
      <c r="B549" s="80" t="s">
        <v>1905</v>
      </c>
      <c r="C549" s="83" t="s">
        <v>1906</v>
      </c>
      <c r="D549" s="80" t="s">
        <v>68</v>
      </c>
      <c r="E549" s="80" t="s">
        <v>863</v>
      </c>
      <c r="F549" s="80" t="str">
        <f>_xlfn.DISPIMG("ID_41398239F8624F638DD11AB33EA92270",1)</f>
        <v>=DISPIMG("ID_41398239F8624F638DD11AB33EA92270",1)</v>
      </c>
      <c r="G549" s="81" t="s">
        <v>442</v>
      </c>
      <c r="H549" s="81">
        <v>2</v>
      </c>
    </row>
    <row r="550" ht="57" customHeight="1" spans="1:8">
      <c r="A550" s="80" t="s">
        <v>1907</v>
      </c>
      <c r="B550" s="80" t="s">
        <v>1905</v>
      </c>
      <c r="C550" s="80" t="s">
        <v>1588</v>
      </c>
      <c r="D550" s="80" t="s">
        <v>1888</v>
      </c>
      <c r="E550" s="80" t="s">
        <v>863</v>
      </c>
      <c r="F550" s="80" t="str">
        <f>_xlfn.DISPIMG("ID_51FEC0B5065C42D7870E413F8DBDA2AB",1)</f>
        <v>=DISPIMG("ID_51FEC0B5065C42D7870E413F8DBDA2AB",1)</v>
      </c>
      <c r="G550" s="81" t="s">
        <v>442</v>
      </c>
      <c r="H550" s="81">
        <v>1</v>
      </c>
    </row>
    <row r="551" ht="57" customHeight="1" spans="1:8">
      <c r="A551" s="84" t="s">
        <v>1908</v>
      </c>
      <c r="B551" s="81" t="s">
        <v>1909</v>
      </c>
      <c r="C551" s="85" t="s">
        <v>1910</v>
      </c>
      <c r="D551" s="85" t="s">
        <v>1911</v>
      </c>
      <c r="E551" s="80" t="s">
        <v>1912</v>
      </c>
      <c r="F551" s="80" t="str">
        <f>_xlfn.DISPIMG("ID_442F73104C5F4D74BFCFB05D6147CED5",1)</f>
        <v>=DISPIMG("ID_442F73104C5F4D74BFCFB05D6147CED5",1)</v>
      </c>
      <c r="G551" s="86" t="s">
        <v>44</v>
      </c>
      <c r="H551" s="87">
        <v>3</v>
      </c>
    </row>
    <row r="552" ht="57" customHeight="1" spans="1:8">
      <c r="A552" s="84" t="s">
        <v>1913</v>
      </c>
      <c r="B552" s="81" t="s">
        <v>1914</v>
      </c>
      <c r="C552" s="85" t="s">
        <v>1915</v>
      </c>
      <c r="D552" s="85" t="s">
        <v>1916</v>
      </c>
      <c r="E552" s="85" t="s">
        <v>1917</v>
      </c>
      <c r="F552" s="80" t="str">
        <f>_xlfn.DISPIMG("ID_7AD92352DC4541F3975AC38DF68D8E62",1)</f>
        <v>=DISPIMG("ID_7AD92352DC4541F3975AC38DF68D8E62",1)</v>
      </c>
      <c r="G552" s="86" t="s">
        <v>44</v>
      </c>
      <c r="H552" s="87">
        <v>2</v>
      </c>
    </row>
    <row r="553" ht="57" customHeight="1" spans="1:8">
      <c r="A553" s="84" t="s">
        <v>1918</v>
      </c>
      <c r="B553" s="81" t="s">
        <v>1914</v>
      </c>
      <c r="C553" s="85" t="s">
        <v>1919</v>
      </c>
      <c r="D553" s="85" t="s">
        <v>1916</v>
      </c>
      <c r="E553" s="85" t="s">
        <v>1917</v>
      </c>
      <c r="F553" s="80" t="str">
        <f>_xlfn.DISPIMG("ID_3730D5D6688F40DB82FE37B89225AC4D",1)</f>
        <v>=DISPIMG("ID_3730D5D6688F40DB82FE37B89225AC4D",1)</v>
      </c>
      <c r="G553" s="86" t="s">
        <v>44</v>
      </c>
      <c r="H553" s="87">
        <v>2</v>
      </c>
    </row>
    <row r="554" ht="57" customHeight="1" spans="1:8">
      <c r="A554" s="87" t="s">
        <v>1920</v>
      </c>
      <c r="B554" s="81" t="s">
        <v>1909</v>
      </c>
      <c r="C554" s="85" t="s">
        <v>1921</v>
      </c>
      <c r="D554" s="85" t="s">
        <v>68</v>
      </c>
      <c r="E554" s="85" t="s">
        <v>1912</v>
      </c>
      <c r="F554" s="80" t="str">
        <f>_xlfn.DISPIMG("ID_14CBF923C0204B4A9347739CCD626D6D",1)</f>
        <v>=DISPIMG("ID_14CBF923C0204B4A9347739CCD626D6D",1)</v>
      </c>
      <c r="G554" s="86" t="s">
        <v>44</v>
      </c>
      <c r="H554" s="87">
        <v>3</v>
      </c>
    </row>
    <row r="555" ht="57" customHeight="1" spans="1:8">
      <c r="A555" s="85" t="s">
        <v>1922</v>
      </c>
      <c r="B555" s="81" t="s">
        <v>1923</v>
      </c>
      <c r="C555" s="85" t="s">
        <v>1924</v>
      </c>
      <c r="D555" s="80" t="s">
        <v>48</v>
      </c>
      <c r="E555" s="85" t="s">
        <v>1925</v>
      </c>
      <c r="F555" s="80" t="str">
        <f>_xlfn.DISPIMG("ID_5A8DC97B3ECA4F1FBCC9DB31D4C68E08",1)</f>
        <v>=DISPIMG("ID_5A8DC97B3ECA4F1FBCC9DB31D4C68E08",1)</v>
      </c>
      <c r="G555" s="80" t="s">
        <v>442</v>
      </c>
      <c r="H555" s="80">
        <v>6</v>
      </c>
    </row>
    <row r="556" ht="57" customHeight="1" spans="1:8">
      <c r="A556" s="85" t="s">
        <v>1926</v>
      </c>
      <c r="B556" s="81" t="s">
        <v>1923</v>
      </c>
      <c r="C556" s="80" t="s">
        <v>1927</v>
      </c>
      <c r="D556" s="80" t="s">
        <v>68</v>
      </c>
      <c r="E556" s="80" t="s">
        <v>1928</v>
      </c>
      <c r="F556" s="80" t="str">
        <f>_xlfn.DISPIMG("ID_18E0D444601741B281086A02B9C71700",1)</f>
        <v>=DISPIMG("ID_18E0D444601741B281086A02B9C71700",1)</v>
      </c>
      <c r="G556" s="80" t="s">
        <v>14</v>
      </c>
      <c r="H556" s="80">
        <v>12</v>
      </c>
    </row>
    <row r="557" ht="57" customHeight="1" spans="1:8">
      <c r="A557" s="85" t="s">
        <v>1929</v>
      </c>
      <c r="B557" s="81" t="s">
        <v>1923</v>
      </c>
      <c r="C557" s="80" t="s">
        <v>1930</v>
      </c>
      <c r="D557" s="80" t="s">
        <v>1931</v>
      </c>
      <c r="E557" s="80" t="s">
        <v>1925</v>
      </c>
      <c r="F557" s="80" t="str">
        <f>_xlfn.DISPIMG("ID_CEA659A5309D405286E384AD48D8DD84",1)</f>
        <v>=DISPIMG("ID_CEA659A5309D405286E384AD48D8DD84",1)</v>
      </c>
      <c r="G557" s="80" t="s">
        <v>14</v>
      </c>
      <c r="H557" s="80">
        <v>12</v>
      </c>
    </row>
    <row r="558" ht="57" customHeight="1" spans="1:8">
      <c r="A558" s="85" t="s">
        <v>1932</v>
      </c>
      <c r="B558" s="81" t="s">
        <v>1923</v>
      </c>
      <c r="C558" s="80" t="s">
        <v>1933</v>
      </c>
      <c r="D558" s="80" t="s">
        <v>12</v>
      </c>
      <c r="E558" s="80" t="s">
        <v>1934</v>
      </c>
      <c r="F558" s="80" t="str">
        <f>_xlfn.DISPIMG("ID_58BA68BCD5424034BE6E2CB7FA592562",1)</f>
        <v>=DISPIMG("ID_58BA68BCD5424034BE6E2CB7FA592562",1)</v>
      </c>
      <c r="G558" s="80" t="s">
        <v>1076</v>
      </c>
      <c r="H558" s="80">
        <v>12</v>
      </c>
    </row>
    <row r="559" ht="57" customHeight="1" spans="1:8">
      <c r="A559" s="85" t="s">
        <v>1935</v>
      </c>
      <c r="B559" s="81" t="s">
        <v>1936</v>
      </c>
      <c r="C559" s="80" t="s">
        <v>1937</v>
      </c>
      <c r="D559" s="80" t="s">
        <v>68</v>
      </c>
      <c r="E559" s="86" t="s">
        <v>1938</v>
      </c>
      <c r="F559" s="80" t="str">
        <f>_xlfn.DISPIMG("ID_2683A5698E5743F18B5515CE8E991F8F",1)</f>
        <v>=DISPIMG("ID_2683A5698E5743F18B5515CE8E991F8F",1)</v>
      </c>
      <c r="G559" s="80" t="s">
        <v>442</v>
      </c>
      <c r="H559" s="80">
        <v>3</v>
      </c>
    </row>
    <row r="560" ht="57" customHeight="1" spans="1:8">
      <c r="A560" s="80" t="s">
        <v>1939</v>
      </c>
      <c r="B560" s="80" t="s">
        <v>1940</v>
      </c>
      <c r="C560" s="80" t="s">
        <v>1941</v>
      </c>
      <c r="D560" s="80" t="s">
        <v>1942</v>
      </c>
      <c r="E560" s="80" t="s">
        <v>863</v>
      </c>
      <c r="F560" s="80" t="str">
        <f>_xlfn.DISPIMG("ID_B0DDEB1E887C46D5A67D3320C24E7C29",1)</f>
        <v>=DISPIMG("ID_B0DDEB1E887C46D5A67D3320C24E7C29",1)</v>
      </c>
      <c r="G560" s="81" t="s">
        <v>44</v>
      </c>
      <c r="H560" s="81">
        <v>6</v>
      </c>
    </row>
    <row r="561" ht="57" customHeight="1" spans="1:8">
      <c r="A561" s="80" t="s">
        <v>1943</v>
      </c>
      <c r="B561" s="80" t="s">
        <v>1886</v>
      </c>
      <c r="C561" s="80" t="s">
        <v>1944</v>
      </c>
      <c r="D561" s="80" t="s">
        <v>1945</v>
      </c>
      <c r="E561" s="80" t="s">
        <v>863</v>
      </c>
      <c r="F561" s="80" t="str">
        <f>_xlfn.DISPIMG("ID_ABBDCEF064E34868846F18F1FDFAEBE4",1)</f>
        <v>=DISPIMG("ID_ABBDCEF064E34868846F18F1FDFAEBE4",1)</v>
      </c>
      <c r="G561" s="81" t="s">
        <v>44</v>
      </c>
      <c r="H561" s="81">
        <v>1</v>
      </c>
    </row>
    <row r="562" ht="57" customHeight="1" spans="1:8">
      <c r="A562" s="80" t="s">
        <v>1946</v>
      </c>
      <c r="B562" s="80" t="s">
        <v>1947</v>
      </c>
      <c r="C562" s="80" t="s">
        <v>1948</v>
      </c>
      <c r="D562" s="80" t="s">
        <v>68</v>
      </c>
      <c r="E562" s="80" t="s">
        <v>1949</v>
      </c>
      <c r="F562" s="80" t="str">
        <f>_xlfn.DISPIMG("ID_6BD447FA66A7422696125C0D1B72BE7B",1)</f>
        <v>=DISPIMG("ID_6BD447FA66A7422696125C0D1B72BE7B",1)</v>
      </c>
      <c r="G562" s="81" t="s">
        <v>44</v>
      </c>
      <c r="H562" s="81">
        <v>1</v>
      </c>
    </row>
    <row r="563" ht="57" customHeight="1" spans="1:8">
      <c r="A563" s="80" t="s">
        <v>1950</v>
      </c>
      <c r="B563" s="80" t="s">
        <v>1951</v>
      </c>
      <c r="C563" s="80" t="s">
        <v>1950</v>
      </c>
      <c r="D563" s="80" t="s">
        <v>68</v>
      </c>
      <c r="E563" s="80" t="s">
        <v>1877</v>
      </c>
      <c r="F563" s="80" t="str">
        <f>_xlfn.DISPIMG("ID_AE509402A43349BEA40517305EFBC4A7",1)</f>
        <v>=DISPIMG("ID_AE509402A43349BEA40517305EFBC4A7",1)</v>
      </c>
      <c r="G563" s="81" t="s">
        <v>442</v>
      </c>
      <c r="H563" s="81">
        <v>1</v>
      </c>
    </row>
    <row r="564" ht="57" customHeight="1" spans="1:8">
      <c r="A564" s="80" t="s">
        <v>1952</v>
      </c>
      <c r="B564" s="80" t="s">
        <v>1953</v>
      </c>
      <c r="C564" s="80" t="s">
        <v>1954</v>
      </c>
      <c r="D564" s="80" t="s">
        <v>68</v>
      </c>
      <c r="E564" s="80" t="s">
        <v>1955</v>
      </c>
      <c r="F564" s="80" t="str">
        <f>_xlfn.DISPIMG("ID_E3493B7C52FF48D59976E95C05BA999B",1)</f>
        <v>=DISPIMG("ID_E3493B7C52FF48D59976E95C05BA999B",1)</v>
      </c>
      <c r="G564" s="80" t="s">
        <v>44</v>
      </c>
      <c r="H564" s="80">
        <v>6</v>
      </c>
    </row>
    <row r="565" ht="57" customHeight="1" spans="1:8">
      <c r="A565" s="80" t="s">
        <v>1956</v>
      </c>
      <c r="B565" s="80" t="s">
        <v>1953</v>
      </c>
      <c r="C565" s="80" t="s">
        <v>1957</v>
      </c>
      <c r="D565" s="80" t="s">
        <v>68</v>
      </c>
      <c r="E565" s="80" t="s">
        <v>1955</v>
      </c>
      <c r="F565" s="80" t="str">
        <f>_xlfn.DISPIMG("ID_A3997A91C1554941965603C01EEE34B3",1)</f>
        <v>=DISPIMG("ID_A3997A91C1554941965603C01EEE34B3",1)</v>
      </c>
      <c r="G565" s="80" t="s">
        <v>44</v>
      </c>
      <c r="H565" s="80">
        <v>3</v>
      </c>
    </row>
    <row r="566" ht="57" customHeight="1" spans="1:8">
      <c r="A566" s="80" t="s">
        <v>1958</v>
      </c>
      <c r="B566" s="80" t="s">
        <v>1953</v>
      </c>
      <c r="C566" s="80" t="s">
        <v>1959</v>
      </c>
      <c r="D566" s="80" t="s">
        <v>68</v>
      </c>
      <c r="E566" s="80" t="s">
        <v>1960</v>
      </c>
      <c r="F566" s="80" t="str">
        <f>_xlfn.DISPIMG("ID_CB587A7D1A2D40EF85B2F3B983DDD616",1)</f>
        <v>=DISPIMG("ID_CB587A7D1A2D40EF85B2F3B983DDD616",1)</v>
      </c>
      <c r="G566" s="80" t="s">
        <v>44</v>
      </c>
      <c r="H566" s="80">
        <v>2</v>
      </c>
    </row>
    <row r="567" ht="57" customHeight="1" spans="1:8">
      <c r="A567" s="80" t="s">
        <v>1961</v>
      </c>
      <c r="B567" s="80" t="s">
        <v>1461</v>
      </c>
      <c r="C567" s="80" t="s">
        <v>1962</v>
      </c>
      <c r="D567" s="80" t="s">
        <v>68</v>
      </c>
      <c r="E567" s="80" t="s">
        <v>863</v>
      </c>
      <c r="F567" s="80" t="str">
        <f>_xlfn.DISPIMG("ID_130CE74EEDAF4A7D971D228DBD953CB1",1)</f>
        <v>=DISPIMG("ID_130CE74EEDAF4A7D971D228DBD953CB1",1)</v>
      </c>
      <c r="G567" s="80" t="s">
        <v>44</v>
      </c>
      <c r="H567" s="80">
        <v>2</v>
      </c>
    </row>
    <row r="568" ht="57" customHeight="1" spans="1:8">
      <c r="A568" s="80" t="s">
        <v>1963</v>
      </c>
      <c r="B568" s="80" t="s">
        <v>1963</v>
      </c>
      <c r="C568" s="80" t="s">
        <v>1964</v>
      </c>
      <c r="D568" s="80" t="s">
        <v>12</v>
      </c>
      <c r="E568" s="80" t="s">
        <v>863</v>
      </c>
      <c r="F568" s="80" t="str">
        <f>_xlfn.DISPIMG("ID_CEAC1704618647CD95760A934AB76D88",1)</f>
        <v>=DISPIMG("ID_CEAC1704618647CD95760A934AB76D88",1)</v>
      </c>
      <c r="G568" s="81" t="s">
        <v>44</v>
      </c>
      <c r="H568" s="81">
        <v>3</v>
      </c>
    </row>
    <row r="569" ht="57" customHeight="1" spans="1:8">
      <c r="A569" s="80" t="s">
        <v>1965</v>
      </c>
      <c r="B569" s="80" t="s">
        <v>1966</v>
      </c>
      <c r="C569" s="80" t="s">
        <v>1967</v>
      </c>
      <c r="D569" s="80" t="s">
        <v>12</v>
      </c>
      <c r="E569" s="80" t="s">
        <v>1877</v>
      </c>
      <c r="F569" s="80" t="str">
        <f>_xlfn.DISPIMG("ID_2B8EA9D9576747BD91067DA3002F0DFC",1)</f>
        <v>=DISPIMG("ID_2B8EA9D9576747BD91067DA3002F0DFC",1)</v>
      </c>
      <c r="G569" s="81" t="s">
        <v>44</v>
      </c>
      <c r="H569" s="81">
        <v>6</v>
      </c>
    </row>
    <row r="570" ht="57" customHeight="1" spans="1:8">
      <c r="A570" s="80" t="s">
        <v>1968</v>
      </c>
      <c r="B570" s="80" t="s">
        <v>199</v>
      </c>
      <c r="C570" s="80" t="s">
        <v>1969</v>
      </c>
      <c r="D570" s="80" t="s">
        <v>12</v>
      </c>
      <c r="E570" s="80" t="s">
        <v>863</v>
      </c>
      <c r="F570" s="80" t="str">
        <f>_xlfn.DISPIMG("ID_57921D218D8549A8B495020060E0D5FA",1)</f>
        <v>=DISPIMG("ID_57921D218D8549A8B495020060E0D5FA",1)</v>
      </c>
      <c r="G570" s="81" t="s">
        <v>44</v>
      </c>
      <c r="H570" s="81">
        <v>6</v>
      </c>
    </row>
    <row r="571" ht="57" customHeight="1" spans="1:8">
      <c r="A571" s="80" t="s">
        <v>1970</v>
      </c>
      <c r="B571" s="80" t="s">
        <v>1971</v>
      </c>
      <c r="C571" s="80" t="s">
        <v>1972</v>
      </c>
      <c r="D571" s="80" t="s">
        <v>48</v>
      </c>
      <c r="E571" s="80" t="s">
        <v>1973</v>
      </c>
      <c r="F571" s="80" t="str">
        <f>_xlfn.DISPIMG("ID_1D9015BBD55B4EA09941AA233594A415",1)</f>
        <v>=DISPIMG("ID_1D9015BBD55B4EA09941AA233594A415",1)</v>
      </c>
      <c r="G571" s="81" t="s">
        <v>14</v>
      </c>
      <c r="H571" s="81">
        <v>2</v>
      </c>
    </row>
    <row r="572" ht="57" customHeight="1" spans="1:8">
      <c r="A572" s="80" t="s">
        <v>1974</v>
      </c>
      <c r="B572" s="80" t="s">
        <v>1975</v>
      </c>
      <c r="C572" s="80" t="s">
        <v>1976</v>
      </c>
      <c r="D572" s="80" t="s">
        <v>48</v>
      </c>
      <c r="E572" s="80" t="s">
        <v>1977</v>
      </c>
      <c r="F572" s="80" t="str">
        <f>_xlfn.DISPIMG("ID_A9D88ECED7AD41F3A439E3227CC9C043",1)</f>
        <v>=DISPIMG("ID_A9D88ECED7AD41F3A439E3227CC9C043",1)</v>
      </c>
      <c r="G572" s="81" t="s">
        <v>14</v>
      </c>
      <c r="H572" s="81">
        <v>2</v>
      </c>
    </row>
    <row r="573" ht="57" customHeight="1" spans="1:8">
      <c r="A573" s="81" t="s">
        <v>1978</v>
      </c>
      <c r="B573" s="81" t="s">
        <v>1979</v>
      </c>
      <c r="C573" s="80" t="s">
        <v>908</v>
      </c>
      <c r="D573" s="81" t="s">
        <v>48</v>
      </c>
      <c r="E573" s="80" t="s">
        <v>1980</v>
      </c>
      <c r="F573" s="81" t="str">
        <f>_xlfn.DISPIMG("ID_2AD8D4392B1C445DA6B7DB5C28E259D3",1)</f>
        <v>=DISPIMG("ID_2AD8D4392B1C445DA6B7DB5C28E259D3",1)</v>
      </c>
      <c r="G573" s="81" t="s">
        <v>14</v>
      </c>
      <c r="H573" s="81">
        <v>1</v>
      </c>
    </row>
    <row r="574" ht="57" customHeight="1" spans="1:8">
      <c r="A574" s="81" t="s">
        <v>1981</v>
      </c>
      <c r="B574" s="81" t="s">
        <v>1982</v>
      </c>
      <c r="C574" s="81" t="s">
        <v>1983</v>
      </c>
      <c r="D574" s="81" t="s">
        <v>48</v>
      </c>
      <c r="E574" s="80" t="s">
        <v>1984</v>
      </c>
      <c r="F574" s="81" t="str">
        <f>_xlfn.DISPIMG("ID_55D815AA76FA46C3817DBEAA1769AFF2",1)</f>
        <v>=DISPIMG("ID_55D815AA76FA46C3817DBEAA1769AFF2",1)</v>
      </c>
      <c r="G574" s="81" t="s">
        <v>14</v>
      </c>
      <c r="H574" s="81">
        <v>3</v>
      </c>
    </row>
    <row r="575" ht="57" customHeight="1" spans="1:8">
      <c r="A575" s="81" t="s">
        <v>1985</v>
      </c>
      <c r="B575" s="81" t="s">
        <v>1986</v>
      </c>
      <c r="C575" s="80" t="s">
        <v>1987</v>
      </c>
      <c r="D575" s="80" t="s">
        <v>48</v>
      </c>
      <c r="E575" s="80" t="s">
        <v>1988</v>
      </c>
      <c r="F575" s="81" t="str">
        <f>_xlfn.DISPIMG("ID_65A3F9D60FB64B029F1EA43CFCA74B01",1)</f>
        <v>=DISPIMG("ID_65A3F9D60FB64B029F1EA43CFCA74B01",1)</v>
      </c>
      <c r="G575" s="81" t="s">
        <v>14</v>
      </c>
      <c r="H575" s="81">
        <v>3</v>
      </c>
    </row>
    <row r="576" ht="57" customHeight="1" spans="1:8">
      <c r="A576" s="80" t="s">
        <v>1989</v>
      </c>
      <c r="B576" s="81" t="s">
        <v>1990</v>
      </c>
      <c r="C576" s="80" t="s">
        <v>1991</v>
      </c>
      <c r="D576" s="81" t="s">
        <v>1992</v>
      </c>
      <c r="E576" s="80" t="s">
        <v>1993</v>
      </c>
      <c r="F576" s="81" t="str">
        <f>_xlfn.DISPIMG("ID_B5933D778BE144B68675EF428CCCDAA8",1)</f>
        <v>=DISPIMG("ID_B5933D778BE144B68675EF428CCCDAA8",1)</v>
      </c>
      <c r="G576" s="81" t="s">
        <v>14</v>
      </c>
      <c r="H576" s="81">
        <v>40</v>
      </c>
    </row>
    <row r="577" ht="57" customHeight="1" spans="1:8">
      <c r="A577" s="81" t="s">
        <v>1994</v>
      </c>
      <c r="B577" s="81" t="s">
        <v>1995</v>
      </c>
      <c r="C577" s="80" t="s">
        <v>1996</v>
      </c>
      <c r="D577" s="80" t="s">
        <v>12</v>
      </c>
      <c r="E577" s="85" t="s">
        <v>1997</v>
      </c>
      <c r="F577" s="81" t="str">
        <f>_xlfn.DISPIMG("ID_D89BE57226DB4E269487E408EFDA4B90",1)</f>
        <v>=DISPIMG("ID_D89BE57226DB4E269487E408EFDA4B90",1)</v>
      </c>
      <c r="G577" s="81" t="s">
        <v>14</v>
      </c>
      <c r="H577" s="81">
        <v>130</v>
      </c>
    </row>
    <row r="578" ht="57" customHeight="1" spans="1:8">
      <c r="A578" s="81" t="s">
        <v>1998</v>
      </c>
      <c r="B578" s="81" t="s">
        <v>1999</v>
      </c>
      <c r="C578" s="80" t="s">
        <v>2000</v>
      </c>
      <c r="D578" s="83" t="s">
        <v>12</v>
      </c>
      <c r="E578" s="80" t="s">
        <v>2001</v>
      </c>
      <c r="F578" s="81" t="str">
        <f>_xlfn.DISPIMG("ID_E84A7A2227C6424A9DDDF76DFFA25961",1)</f>
        <v>=DISPIMG("ID_E84A7A2227C6424A9DDDF76DFFA25961",1)</v>
      </c>
      <c r="G578" s="81" t="s">
        <v>14</v>
      </c>
      <c r="H578" s="81">
        <v>140</v>
      </c>
    </row>
    <row r="579" ht="57" customHeight="1" spans="1:8">
      <c r="A579" s="80" t="s">
        <v>2002</v>
      </c>
      <c r="B579" s="80" t="s">
        <v>1728</v>
      </c>
      <c r="C579" s="80" t="s">
        <v>2003</v>
      </c>
      <c r="D579" s="83" t="s">
        <v>12</v>
      </c>
      <c r="E579" s="80" t="s">
        <v>2004</v>
      </c>
      <c r="F579" s="80" t="str">
        <f>_xlfn.DISPIMG("ID_A65B55F81BA6407A83E625B2AEF6FEAC",1)</f>
        <v>=DISPIMG("ID_A65B55F81BA6407A83E625B2AEF6FEAC",1)</v>
      </c>
      <c r="G579" s="81" t="s">
        <v>44</v>
      </c>
      <c r="H579" s="81">
        <v>4</v>
      </c>
    </row>
    <row r="580" ht="57" customHeight="1" spans="1:8">
      <c r="A580" s="80" t="s">
        <v>2005</v>
      </c>
      <c r="B580" s="80" t="s">
        <v>1728</v>
      </c>
      <c r="C580" s="80" t="s">
        <v>2006</v>
      </c>
      <c r="D580" s="83" t="s">
        <v>12</v>
      </c>
      <c r="E580" s="80" t="s">
        <v>863</v>
      </c>
      <c r="F580" s="80" t="str">
        <f>_xlfn.DISPIMG("ID_D6914A2FAB0140D39CB9F633DDA1CFF3",1)</f>
        <v>=DISPIMG("ID_D6914A2FAB0140D39CB9F633DDA1CFF3",1)</v>
      </c>
      <c r="G580" s="81" t="s">
        <v>44</v>
      </c>
      <c r="H580" s="81">
        <v>20</v>
      </c>
    </row>
    <row r="581" ht="57" customHeight="1" spans="1:8">
      <c r="A581" s="80" t="s">
        <v>2007</v>
      </c>
      <c r="B581" s="80" t="s">
        <v>2008</v>
      </c>
      <c r="C581" s="80" t="s">
        <v>2009</v>
      </c>
      <c r="D581" s="81" t="s">
        <v>12</v>
      </c>
      <c r="E581" s="80" t="s">
        <v>2010</v>
      </c>
      <c r="F581" s="80" t="str">
        <f>_xlfn.DISPIMG("ID_AC6915F55AE242589A119C4911B7935B",1)</f>
        <v>=DISPIMG("ID_AC6915F55AE242589A119C4911B7935B",1)</v>
      </c>
      <c r="G581" s="81" t="s">
        <v>1076</v>
      </c>
      <c r="H581" s="81">
        <v>100</v>
      </c>
    </row>
    <row r="582" ht="57" customHeight="1" spans="1:8">
      <c r="A582" s="80" t="s">
        <v>2011</v>
      </c>
      <c r="B582" s="80" t="s">
        <v>2012</v>
      </c>
      <c r="C582" s="80" t="s">
        <v>2013</v>
      </c>
      <c r="D582" s="80" t="s">
        <v>1992</v>
      </c>
      <c r="E582" s="80" t="s">
        <v>2014</v>
      </c>
      <c r="F582" s="80" t="str">
        <f>_xlfn.DISPIMG("ID_336BBF85EEC64C6682401E4D2D9C1B45",1)</f>
        <v>=DISPIMG("ID_336BBF85EEC64C6682401E4D2D9C1B45",1)</v>
      </c>
      <c r="G582" s="81" t="s">
        <v>14</v>
      </c>
      <c r="H582" s="81">
        <v>1</v>
      </c>
    </row>
    <row r="583" ht="57" customHeight="1" spans="1:8">
      <c r="A583" s="80" t="s">
        <v>2015</v>
      </c>
      <c r="B583" s="80" t="s">
        <v>2012</v>
      </c>
      <c r="C583" s="80" t="s">
        <v>2013</v>
      </c>
      <c r="D583" s="80" t="s">
        <v>1992</v>
      </c>
      <c r="E583" s="80" t="s">
        <v>2016</v>
      </c>
      <c r="F583" s="80" t="str">
        <f>_xlfn.DISPIMG("ID_48053EE7BE454AED8BB1A26357E0880E",1)</f>
        <v>=DISPIMG("ID_48053EE7BE454AED8BB1A26357E0880E",1)</v>
      </c>
      <c r="G583" s="81" t="s">
        <v>14</v>
      </c>
      <c r="H583" s="81">
        <v>1</v>
      </c>
    </row>
    <row r="584" ht="57" customHeight="1" spans="1:8">
      <c r="A584" s="80" t="s">
        <v>2017</v>
      </c>
      <c r="B584" s="80" t="s">
        <v>2018</v>
      </c>
      <c r="C584" s="80" t="s">
        <v>2019</v>
      </c>
      <c r="D584" s="80" t="s">
        <v>1992</v>
      </c>
      <c r="E584" s="80" t="s">
        <v>2014</v>
      </c>
      <c r="F584" s="80" t="str">
        <f>_xlfn.DISPIMG("ID_4A84F3CADCFF429FB3CE25DC1544C893",1)</f>
        <v>=DISPIMG("ID_4A84F3CADCFF429FB3CE25DC1544C893",1)</v>
      </c>
      <c r="G584" s="81" t="s">
        <v>14</v>
      </c>
      <c r="H584" s="81">
        <v>1</v>
      </c>
    </row>
    <row r="585" ht="57" customHeight="1" spans="1:8">
      <c r="A585" s="80" t="s">
        <v>2020</v>
      </c>
      <c r="B585" s="80" t="s">
        <v>2018</v>
      </c>
      <c r="C585" s="80" t="s">
        <v>2021</v>
      </c>
      <c r="D585" s="80" t="s">
        <v>1992</v>
      </c>
      <c r="E585" s="80" t="s">
        <v>2022</v>
      </c>
      <c r="F585" s="80" t="str">
        <f>_xlfn.DISPIMG("ID_0000F6C9A0214B61A903B03F04BBB81A",1)</f>
        <v>=DISPIMG("ID_0000F6C9A0214B61A903B03F04BBB81A",1)</v>
      </c>
      <c r="G585" s="81" t="s">
        <v>14</v>
      </c>
      <c r="H585" s="81">
        <v>1</v>
      </c>
    </row>
    <row r="586" ht="57" customHeight="1" spans="1:8">
      <c r="A586" s="80" t="s">
        <v>2023</v>
      </c>
      <c r="B586" s="80"/>
      <c r="C586" s="80" t="s">
        <v>2024</v>
      </c>
      <c r="D586" s="80" t="s">
        <v>1992</v>
      </c>
      <c r="E586" s="80" t="s">
        <v>2025</v>
      </c>
      <c r="F586" s="80" t="str">
        <f>_xlfn.DISPIMG("ID_C2FCD07005234AD4BB9505EBCE03B5F7",1)</f>
        <v>=DISPIMG("ID_C2FCD07005234AD4BB9505EBCE03B5F7",1)</v>
      </c>
      <c r="G586" s="81" t="s">
        <v>14</v>
      </c>
      <c r="H586" s="81">
        <v>4</v>
      </c>
    </row>
    <row r="587" ht="57" customHeight="1" spans="1:8">
      <c r="A587" s="80" t="s">
        <v>2026</v>
      </c>
      <c r="B587" s="80" t="s">
        <v>2027</v>
      </c>
      <c r="C587" s="80" t="s">
        <v>2028</v>
      </c>
      <c r="D587" s="80" t="s">
        <v>12</v>
      </c>
      <c r="E587" s="80" t="s">
        <v>2029</v>
      </c>
      <c r="F587" s="80" t="str">
        <f>_xlfn.DISPIMG("ID_215C7F447CE848CEB60AFAFF6E9517C7",1)</f>
        <v>=DISPIMG("ID_215C7F447CE848CEB60AFAFF6E9517C7",1)</v>
      </c>
      <c r="G587" s="81" t="s">
        <v>14</v>
      </c>
      <c r="H587" s="81">
        <v>4</v>
      </c>
    </row>
    <row r="588" ht="57" customHeight="1" spans="1:8">
      <c r="A588" s="80" t="s">
        <v>2030</v>
      </c>
      <c r="B588" s="80" t="s">
        <v>2031</v>
      </c>
      <c r="C588" s="80" t="s">
        <v>2032</v>
      </c>
      <c r="D588" s="80" t="s">
        <v>2033</v>
      </c>
      <c r="E588" s="80" t="s">
        <v>2034</v>
      </c>
      <c r="F588" s="80" t="str">
        <f>_xlfn.DISPIMG("ID_246DB8E065784FC7A9C23B0C12004663",1)</f>
        <v>=DISPIMG("ID_246DB8E065784FC7A9C23B0C12004663",1)</v>
      </c>
      <c r="G588" s="81" t="s">
        <v>14</v>
      </c>
      <c r="H588" s="81">
        <v>1</v>
      </c>
    </row>
    <row r="589" ht="57" customHeight="1" spans="1:8">
      <c r="A589" s="80" t="s">
        <v>2035</v>
      </c>
      <c r="B589" s="80" t="s">
        <v>2036</v>
      </c>
      <c r="C589" s="80" t="s">
        <v>2037</v>
      </c>
      <c r="D589" s="80" t="s">
        <v>1992</v>
      </c>
      <c r="E589" s="80" t="s">
        <v>2038</v>
      </c>
      <c r="F589" s="80" t="str">
        <f>_xlfn.DISPIMG("ID_F553D2EE190845F0ABE9B87875B93EE7",1)</f>
        <v>=DISPIMG("ID_F553D2EE190845F0ABE9B87875B93EE7",1)</v>
      </c>
      <c r="G589" s="81" t="s">
        <v>14</v>
      </c>
      <c r="H589" s="81">
        <v>10</v>
      </c>
    </row>
    <row r="590" ht="57" customHeight="1" spans="1:8">
      <c r="A590" s="80" t="s">
        <v>2039</v>
      </c>
      <c r="B590" s="80" t="s">
        <v>2040</v>
      </c>
      <c r="C590" s="80" t="s">
        <v>2041</v>
      </c>
      <c r="D590" s="80" t="s">
        <v>12</v>
      </c>
      <c r="E590" s="80" t="s">
        <v>2042</v>
      </c>
      <c r="F590" s="80" t="str">
        <f>_xlfn.DISPIMG("ID_BDA5DB93E30C4699831E593EEA6F020B",1)</f>
        <v>=DISPIMG("ID_BDA5DB93E30C4699831E593EEA6F020B",1)</v>
      </c>
      <c r="G590" s="81" t="s">
        <v>44</v>
      </c>
      <c r="H590" s="81">
        <v>4</v>
      </c>
    </row>
    <row r="591" ht="57" customHeight="1" spans="1:8">
      <c r="A591" s="80" t="s">
        <v>2043</v>
      </c>
      <c r="B591" s="80" t="s">
        <v>848</v>
      </c>
      <c r="C591" s="80" t="s">
        <v>2044</v>
      </c>
      <c r="D591" s="80" t="s">
        <v>12</v>
      </c>
      <c r="E591" s="80" t="s">
        <v>2045</v>
      </c>
      <c r="F591" s="80" t="str">
        <f>_xlfn.DISPIMG("ID_95A41CC8F9A84DC28131C5B2540DD652",1)</f>
        <v>=DISPIMG("ID_95A41CC8F9A84DC28131C5B2540DD652",1)</v>
      </c>
      <c r="G591" s="81" t="s">
        <v>44</v>
      </c>
      <c r="H591" s="81">
        <v>1</v>
      </c>
    </row>
    <row r="592" ht="57" customHeight="1" spans="1:8">
      <c r="A592" s="80" t="s">
        <v>2046</v>
      </c>
      <c r="B592" s="80" t="s">
        <v>848</v>
      </c>
      <c r="C592" s="80" t="s">
        <v>2047</v>
      </c>
      <c r="D592" s="80" t="s">
        <v>12</v>
      </c>
      <c r="E592" s="80" t="s">
        <v>2048</v>
      </c>
      <c r="F592" s="80" t="str">
        <f>_xlfn.DISPIMG("ID_854B9C0A318A4171B613C8B9B52FAB86",1)</f>
        <v>=DISPIMG("ID_854B9C0A318A4171B613C8B9B52FAB86",1)</v>
      </c>
      <c r="G592" s="81" t="s">
        <v>456</v>
      </c>
      <c r="H592" s="81">
        <v>2</v>
      </c>
    </row>
    <row r="593" ht="57" customHeight="1" spans="1:8">
      <c r="A593" s="80" t="s">
        <v>2049</v>
      </c>
      <c r="B593" s="80" t="s">
        <v>848</v>
      </c>
      <c r="C593" s="80" t="s">
        <v>2050</v>
      </c>
      <c r="D593" s="80" t="s">
        <v>12</v>
      </c>
      <c r="E593" s="80" t="s">
        <v>2051</v>
      </c>
      <c r="F593" s="80" t="str">
        <f>_xlfn.DISPIMG("ID_5AC800DF5E5F42508A100548D0CA9E22",1)</f>
        <v>=DISPIMG("ID_5AC800DF5E5F42508A100548D0CA9E22",1)</v>
      </c>
      <c r="G593" s="81" t="s">
        <v>44</v>
      </c>
      <c r="H593" s="81">
        <v>1</v>
      </c>
    </row>
    <row r="594" ht="57" customHeight="1" spans="1:8">
      <c r="A594" s="80" t="s">
        <v>2052</v>
      </c>
      <c r="B594" s="80" t="s">
        <v>2053</v>
      </c>
      <c r="C594" s="80" t="s">
        <v>2054</v>
      </c>
      <c r="D594" s="80" t="s">
        <v>68</v>
      </c>
      <c r="E594" s="88" t="s">
        <v>2055</v>
      </c>
      <c r="F594" s="80" t="str">
        <f>_xlfn.DISPIMG("ID_D29FE9E9C3724DFEA8BF8A78C60B4337",1)</f>
        <v>=DISPIMG("ID_D29FE9E9C3724DFEA8BF8A78C60B4337",1)</v>
      </c>
      <c r="G594" s="81" t="s">
        <v>14</v>
      </c>
      <c r="H594" s="81">
        <v>1</v>
      </c>
    </row>
    <row r="595" ht="57" customHeight="1" spans="1:8">
      <c r="A595" s="80" t="s">
        <v>2056</v>
      </c>
      <c r="B595" s="80" t="s">
        <v>2053</v>
      </c>
      <c r="C595" s="80" t="s">
        <v>2057</v>
      </c>
      <c r="D595" s="81" t="s">
        <v>68</v>
      </c>
      <c r="E595" s="80" t="s">
        <v>2058</v>
      </c>
      <c r="F595" s="80" t="str">
        <f>_xlfn.DISPIMG("ID_1B8E37394CF5427B9368AAE742ECF9FF",1)</f>
        <v>=DISPIMG("ID_1B8E37394CF5427B9368AAE742ECF9FF",1)</v>
      </c>
      <c r="G595" s="81" t="s">
        <v>14</v>
      </c>
      <c r="H595" s="81">
        <v>1</v>
      </c>
    </row>
    <row r="596" ht="57" customHeight="1" spans="1:8">
      <c r="A596" s="80" t="s">
        <v>2059</v>
      </c>
      <c r="B596" s="80" t="s">
        <v>2053</v>
      </c>
      <c r="C596" s="80" t="s">
        <v>2060</v>
      </c>
      <c r="D596" s="83" t="s">
        <v>68</v>
      </c>
      <c r="E596" s="81" t="s">
        <v>2058</v>
      </c>
      <c r="F596" s="80" t="str">
        <f>_xlfn.DISPIMG("ID_3FD79B4DD06D4D8A85DD467F5F9EE2CF",1)</f>
        <v>=DISPIMG("ID_3FD79B4DD06D4D8A85DD467F5F9EE2CF",1)</v>
      </c>
      <c r="G596" s="81" t="s">
        <v>14</v>
      </c>
      <c r="H596" s="81">
        <v>1</v>
      </c>
    </row>
    <row r="597" ht="57" customHeight="1" spans="1:8">
      <c r="A597" s="80" t="s">
        <v>2061</v>
      </c>
      <c r="B597" s="80" t="s">
        <v>2053</v>
      </c>
      <c r="C597" s="80" t="s">
        <v>2062</v>
      </c>
      <c r="D597" s="80" t="s">
        <v>68</v>
      </c>
      <c r="E597" s="80" t="s">
        <v>2063</v>
      </c>
      <c r="F597" s="80" t="str">
        <f>_xlfn.DISPIMG("ID_3DD7C8C8553142DCAF2EF10C08C31DC9",1)</f>
        <v>=DISPIMG("ID_3DD7C8C8553142DCAF2EF10C08C31DC9",1)</v>
      </c>
      <c r="G597" s="81" t="s">
        <v>14</v>
      </c>
      <c r="H597" s="81">
        <v>1</v>
      </c>
    </row>
    <row r="598" ht="57" customHeight="1" spans="1:8">
      <c r="A598" s="80" t="s">
        <v>2064</v>
      </c>
      <c r="B598" s="80" t="s">
        <v>2008</v>
      </c>
      <c r="C598" s="80" t="s">
        <v>2065</v>
      </c>
      <c r="D598" s="80" t="s">
        <v>12</v>
      </c>
      <c r="E598" s="80" t="s">
        <v>2042</v>
      </c>
      <c r="F598" s="80" t="str">
        <f>_xlfn.DISPIMG("ID_62FDC58240AB4F68A0492C2B444EA3D8",1)</f>
        <v>=DISPIMG("ID_62FDC58240AB4F68A0492C2B444EA3D8",1)</v>
      </c>
      <c r="G598" s="81" t="s">
        <v>44</v>
      </c>
      <c r="H598" s="81">
        <v>2</v>
      </c>
    </row>
    <row r="599" ht="57" customHeight="1" spans="1:8">
      <c r="A599" s="80" t="s">
        <v>2066</v>
      </c>
      <c r="B599" s="80" t="s">
        <v>2067</v>
      </c>
      <c r="C599" s="80" t="s">
        <v>2068</v>
      </c>
      <c r="D599" s="81" t="s">
        <v>2069</v>
      </c>
      <c r="E599" s="81" t="s">
        <v>1877</v>
      </c>
      <c r="F599" s="80" t="str">
        <f>_xlfn.DISPIMG("ID_10B6E67AF2C146BFB3C654CDEB57EE6F",1)</f>
        <v>=DISPIMG("ID_10B6E67AF2C146BFB3C654CDEB57EE6F",1)</v>
      </c>
      <c r="G599" s="81" t="s">
        <v>44</v>
      </c>
      <c r="H599" s="81">
        <v>1</v>
      </c>
    </row>
    <row r="600" ht="57" customHeight="1" spans="1:8">
      <c r="A600" s="80" t="s">
        <v>2070</v>
      </c>
      <c r="B600" s="80" t="s">
        <v>2071</v>
      </c>
      <c r="C600" s="80" t="s">
        <v>2072</v>
      </c>
      <c r="D600" s="81" t="s">
        <v>2069</v>
      </c>
      <c r="E600" s="81" t="s">
        <v>1877</v>
      </c>
      <c r="F600" s="80" t="str">
        <f>_xlfn.DISPIMG("ID_E24996269A754342A1CF0910E0529C50",1)</f>
        <v>=DISPIMG("ID_E24996269A754342A1CF0910E0529C50",1)</v>
      </c>
      <c r="G600" s="81" t="s">
        <v>14</v>
      </c>
      <c r="H600" s="81">
        <v>1</v>
      </c>
    </row>
    <row r="601" ht="57" customHeight="1" spans="1:8">
      <c r="A601" s="29" t="s">
        <v>2073</v>
      </c>
      <c r="B601" s="6" t="s">
        <v>2074</v>
      </c>
      <c r="C601" s="6" t="s">
        <v>2075</v>
      </c>
      <c r="D601" s="6" t="s">
        <v>12</v>
      </c>
      <c r="E601" s="6" t="s">
        <v>863</v>
      </c>
      <c r="F601" s="6" t="str">
        <f>_xlfn.DISPIMG("ID_03B62DC86332403A8CF84A402B634674",1)</f>
        <v>=DISPIMG("ID_03B62DC86332403A8CF84A402B634674",1)</v>
      </c>
      <c r="G601" s="17" t="s">
        <v>44</v>
      </c>
      <c r="H601" s="6">
        <v>1</v>
      </c>
    </row>
    <row r="602" ht="57" customHeight="1" spans="1:8">
      <c r="A602" s="29" t="s">
        <v>2076</v>
      </c>
      <c r="B602" s="6" t="s">
        <v>2074</v>
      </c>
      <c r="C602" s="6" t="s">
        <v>2077</v>
      </c>
      <c r="D602" s="6" t="s">
        <v>12</v>
      </c>
      <c r="E602" s="6" t="s">
        <v>863</v>
      </c>
      <c r="F602" s="6" t="str">
        <f>_xlfn.DISPIMG("ID_0C4302D8D6C946C6A421A3972DF21103",1)</f>
        <v>=DISPIMG("ID_0C4302D8D6C946C6A421A3972DF21103",1)</v>
      </c>
      <c r="G602" s="17" t="s">
        <v>442</v>
      </c>
      <c r="H602" s="17">
        <v>1</v>
      </c>
    </row>
    <row r="603" ht="57" customHeight="1" spans="1:8">
      <c r="A603" s="29" t="s">
        <v>2078</v>
      </c>
      <c r="B603" s="17" t="s">
        <v>2079</v>
      </c>
      <c r="C603" s="6" t="s">
        <v>2080</v>
      </c>
      <c r="D603" s="6" t="s">
        <v>12</v>
      </c>
      <c r="E603" s="6" t="s">
        <v>2081</v>
      </c>
      <c r="F603" s="17" t="str">
        <f>_xlfn.DISPIMG("ID_C3A98D1D42DA4EFA91CA1E3CF8E0C23F",1)</f>
        <v>=DISPIMG("ID_C3A98D1D42DA4EFA91CA1E3CF8E0C23F",1)</v>
      </c>
      <c r="G603" s="17" t="s">
        <v>44</v>
      </c>
      <c r="H603" s="6">
        <v>1</v>
      </c>
    </row>
    <row r="604" ht="57" customHeight="1" spans="1:8">
      <c r="A604" s="29" t="s">
        <v>2082</v>
      </c>
      <c r="B604" s="6" t="s">
        <v>2083</v>
      </c>
      <c r="C604" s="6" t="s">
        <v>2084</v>
      </c>
      <c r="D604" s="6" t="s">
        <v>12</v>
      </c>
      <c r="E604" s="6" t="s">
        <v>2085</v>
      </c>
      <c r="F604" s="17" t="str">
        <f>_xlfn.DISPIMG("ID_C454534D25D04E66B249BE0823BEEEC7",1)</f>
        <v>=DISPIMG("ID_C454534D25D04E66B249BE0823BEEEC7",1)</v>
      </c>
      <c r="G604" s="17" t="s">
        <v>44</v>
      </c>
      <c r="H604" s="6">
        <v>1</v>
      </c>
    </row>
    <row r="605" ht="57" customHeight="1" spans="1:8">
      <c r="A605" s="29" t="s">
        <v>2086</v>
      </c>
      <c r="B605" s="6" t="s">
        <v>2087</v>
      </c>
      <c r="C605" s="6" t="s">
        <v>2088</v>
      </c>
      <c r="D605" s="6" t="s">
        <v>2089</v>
      </c>
      <c r="E605" s="6" t="s">
        <v>2090</v>
      </c>
      <c r="F605" s="17" t="str">
        <f>_xlfn.DISPIMG("ID_12DEE4E72FE7466D9718F962E476BD8E",1)</f>
        <v>=DISPIMG("ID_12DEE4E72FE7466D9718F962E476BD8E",1)</v>
      </c>
      <c r="G605" s="17" t="s">
        <v>44</v>
      </c>
      <c r="H605" s="6">
        <v>1</v>
      </c>
    </row>
    <row r="606" ht="57" customHeight="1" spans="1:8">
      <c r="A606" s="29" t="s">
        <v>2091</v>
      </c>
      <c r="B606" s="6" t="s">
        <v>2092</v>
      </c>
      <c r="C606" s="6" t="s">
        <v>2093</v>
      </c>
      <c r="D606" s="6" t="s">
        <v>2089</v>
      </c>
      <c r="E606" s="6" t="s">
        <v>2094</v>
      </c>
      <c r="F606" s="6" t="str">
        <f>_xlfn.DISPIMG("ID_6EC84401CC6349069CF197660E0D2D86",1)</f>
        <v>=DISPIMG("ID_6EC84401CC6349069CF197660E0D2D86",1)</v>
      </c>
      <c r="G606" s="17" t="s">
        <v>44</v>
      </c>
      <c r="H606" s="6">
        <v>1</v>
      </c>
    </row>
    <row r="607" ht="57" customHeight="1" spans="1:8">
      <c r="A607" s="29" t="s">
        <v>2095</v>
      </c>
      <c r="B607" s="6" t="s">
        <v>2096</v>
      </c>
      <c r="C607" s="6" t="s">
        <v>2097</v>
      </c>
      <c r="D607" s="6" t="s">
        <v>1755</v>
      </c>
      <c r="E607" s="6" t="s">
        <v>2098</v>
      </c>
      <c r="F607" s="6" t="str">
        <f>_xlfn.DISPIMG("ID_3066EF68399C43D2A56857C5A9E5CB23",1)</f>
        <v>=DISPIMG("ID_3066EF68399C43D2A56857C5A9E5CB23",1)</v>
      </c>
      <c r="G607" s="17" t="s">
        <v>44</v>
      </c>
      <c r="H607" s="6">
        <v>1</v>
      </c>
    </row>
    <row r="608" ht="57" customHeight="1" spans="1:8">
      <c r="A608" s="29" t="s">
        <v>2099</v>
      </c>
      <c r="B608" s="6" t="s">
        <v>2100</v>
      </c>
      <c r="C608" s="6" t="s">
        <v>2101</v>
      </c>
      <c r="D608" s="6" t="s">
        <v>2089</v>
      </c>
      <c r="E608" s="6" t="s">
        <v>2102</v>
      </c>
      <c r="F608" s="6" t="str">
        <f>_xlfn.DISPIMG("ID_4405C237C6BA4D3BBA2A7F422B8F6B2B",1)</f>
        <v>=DISPIMG("ID_4405C237C6BA4D3BBA2A7F422B8F6B2B",1)</v>
      </c>
      <c r="G608" s="17" t="s">
        <v>442</v>
      </c>
      <c r="H608" s="17">
        <v>1</v>
      </c>
    </row>
    <row r="609" ht="57" customHeight="1" spans="1:8">
      <c r="A609" s="28" t="s">
        <v>2103</v>
      </c>
      <c r="B609" s="5" t="s">
        <v>19</v>
      </c>
      <c r="C609" s="28" t="s">
        <v>2103</v>
      </c>
      <c r="D609" s="5" t="s">
        <v>2104</v>
      </c>
      <c r="E609" s="5" t="s">
        <v>2105</v>
      </c>
      <c r="F609" s="5" t="str">
        <f>_xlfn.DISPIMG("ID_2FA8446A866B417E98A44568D4F94F97",1)</f>
        <v>=DISPIMG("ID_2FA8446A866B417E98A44568D4F94F97",1)</v>
      </c>
      <c r="G609" s="17" t="s">
        <v>44</v>
      </c>
      <c r="H609" s="17">
        <v>1</v>
      </c>
    </row>
    <row r="610" ht="57" customHeight="1" spans="1:8">
      <c r="A610" s="29" t="s">
        <v>2106</v>
      </c>
      <c r="B610" s="6" t="s">
        <v>19</v>
      </c>
      <c r="C610" s="29" t="s">
        <v>2107</v>
      </c>
      <c r="D610" s="6" t="s">
        <v>2108</v>
      </c>
      <c r="E610" s="6" t="s">
        <v>2109</v>
      </c>
      <c r="F610" s="6" t="str">
        <f>_xlfn.DISPIMG("ID_462A812F125441B5925A03B26C7454E7",1)</f>
        <v>=DISPIMG("ID_462A812F125441B5925A03B26C7454E7",1)</v>
      </c>
      <c r="G610" s="6" t="s">
        <v>44</v>
      </c>
      <c r="H610" s="17">
        <v>1</v>
      </c>
    </row>
    <row r="611" ht="57" customHeight="1" spans="1:8">
      <c r="A611" s="28" t="s">
        <v>2110</v>
      </c>
      <c r="B611" s="5" t="s">
        <v>19</v>
      </c>
      <c r="C611" s="28" t="s">
        <v>2111</v>
      </c>
      <c r="D611" s="5" t="s">
        <v>2112</v>
      </c>
      <c r="E611" s="5" t="s">
        <v>2113</v>
      </c>
      <c r="F611" s="5" t="str">
        <f>_xlfn.DISPIMG("ID_EDAF237C5D314C5092E8D0E840C3498E",1)</f>
        <v>=DISPIMG("ID_EDAF237C5D314C5092E8D0E840C3498E",1)</v>
      </c>
      <c r="G611" s="6" t="s">
        <v>44</v>
      </c>
      <c r="H611" s="17">
        <v>1</v>
      </c>
    </row>
    <row r="612" ht="57" customHeight="1" spans="1:8">
      <c r="A612" s="28" t="s">
        <v>2114</v>
      </c>
      <c r="B612" s="5" t="s">
        <v>19</v>
      </c>
      <c r="C612" s="28" t="s">
        <v>2115</v>
      </c>
      <c r="D612" s="5" t="s">
        <v>2112</v>
      </c>
      <c r="E612" s="5" t="s">
        <v>2116</v>
      </c>
      <c r="F612" s="5" t="str">
        <f>_xlfn.DISPIMG("ID_77B3AF6F4E1C4E4C91D1512190CC8D1E",1)</f>
        <v>=DISPIMG("ID_77B3AF6F4E1C4E4C91D1512190CC8D1E",1)</v>
      </c>
      <c r="G612" s="6" t="s">
        <v>44</v>
      </c>
      <c r="H612" s="17">
        <v>1</v>
      </c>
    </row>
    <row r="613" ht="57" customHeight="1" spans="1:8">
      <c r="A613" s="28" t="s">
        <v>2117</v>
      </c>
      <c r="B613" s="5" t="s">
        <v>19</v>
      </c>
      <c r="C613" s="28" t="s">
        <v>2118</v>
      </c>
      <c r="D613" s="5" t="s">
        <v>2119</v>
      </c>
      <c r="E613" s="5" t="s">
        <v>2120</v>
      </c>
      <c r="F613" s="5" t="str">
        <f>_xlfn.DISPIMG("ID_909B76A4838948B990A511BF22C57339",1)</f>
        <v>=DISPIMG("ID_909B76A4838948B990A511BF22C57339",1)</v>
      </c>
      <c r="G613" s="6" t="s">
        <v>44</v>
      </c>
      <c r="H613" s="17">
        <v>1</v>
      </c>
    </row>
    <row r="614" ht="57" customHeight="1" spans="1:8">
      <c r="A614" s="28" t="s">
        <v>2121</v>
      </c>
      <c r="B614" s="5" t="s">
        <v>19</v>
      </c>
      <c r="C614" s="28" t="s">
        <v>2122</v>
      </c>
      <c r="D614" s="5" t="s">
        <v>21</v>
      </c>
      <c r="E614" s="5" t="s">
        <v>2123</v>
      </c>
      <c r="F614" s="5" t="str">
        <f>_xlfn.DISPIMG("ID_46662CFEEDF84E44986B9415B42A62E9",1)</f>
        <v>=DISPIMG("ID_46662CFEEDF84E44986B9415B42A62E9",1)</v>
      </c>
      <c r="G614" s="6" t="s">
        <v>44</v>
      </c>
      <c r="H614" s="17">
        <v>1</v>
      </c>
    </row>
    <row r="615" ht="57" customHeight="1" spans="1:8">
      <c r="A615" s="29" t="s">
        <v>2124</v>
      </c>
      <c r="B615" s="6" t="s">
        <v>19</v>
      </c>
      <c r="C615" s="29" t="s">
        <v>2125</v>
      </c>
      <c r="D615" s="6" t="s">
        <v>12</v>
      </c>
      <c r="E615" s="6" t="s">
        <v>2126</v>
      </c>
      <c r="F615" s="6" t="str">
        <f>_xlfn.DISPIMG("ID_403261338560467883ABC117E7B16B9B",1)</f>
        <v>=DISPIMG("ID_403261338560467883ABC117E7B16B9B",1)</v>
      </c>
      <c r="G615" s="6" t="s">
        <v>14</v>
      </c>
      <c r="H615" s="17">
        <v>2</v>
      </c>
    </row>
    <row r="616" ht="57" customHeight="1" spans="1:8">
      <c r="A616" s="29" t="s">
        <v>2127</v>
      </c>
      <c r="B616" s="6" t="s">
        <v>19</v>
      </c>
      <c r="C616" s="29" t="s">
        <v>2128</v>
      </c>
      <c r="D616" s="6" t="s">
        <v>12</v>
      </c>
      <c r="E616" s="6" t="s">
        <v>902</v>
      </c>
      <c r="F616" s="6" t="str">
        <f>_xlfn.DISPIMG("ID_DA61A79E9B22441E97AF54D2A0B4D44F",1)</f>
        <v>=DISPIMG("ID_DA61A79E9B22441E97AF54D2A0B4D44F",1)</v>
      </c>
      <c r="G616" s="6" t="s">
        <v>14</v>
      </c>
      <c r="H616" s="17">
        <v>1</v>
      </c>
    </row>
    <row r="617" ht="57" customHeight="1" spans="1:8">
      <c r="A617" s="29" t="s">
        <v>2129</v>
      </c>
      <c r="B617" s="6" t="s">
        <v>19</v>
      </c>
      <c r="C617" s="29" t="s">
        <v>2130</v>
      </c>
      <c r="D617" s="6" t="s">
        <v>12</v>
      </c>
      <c r="E617" s="6" t="s">
        <v>2131</v>
      </c>
      <c r="F617" s="6" t="str">
        <f>_xlfn.DISPIMG("ID_FFC281759E9E4C47BED810F8D02D9482",1)</f>
        <v>=DISPIMG("ID_FFC281759E9E4C47BED810F8D02D9482",1)</v>
      </c>
      <c r="G617" s="6" t="s">
        <v>14</v>
      </c>
      <c r="H617" s="17">
        <v>1</v>
      </c>
    </row>
    <row r="618" ht="57" customHeight="1" spans="1:8">
      <c r="A618" s="29" t="s">
        <v>2132</v>
      </c>
      <c r="B618" s="6" t="s">
        <v>19</v>
      </c>
      <c r="C618" s="29" t="s">
        <v>2133</v>
      </c>
      <c r="D618" s="6" t="s">
        <v>2134</v>
      </c>
      <c r="E618" s="6" t="s">
        <v>2135</v>
      </c>
      <c r="F618" s="6" t="str">
        <f>_xlfn.DISPIMG("ID_9D92DF77022E4DAAB9F1A67147FFDB59",1)</f>
        <v>=DISPIMG("ID_9D92DF77022E4DAAB9F1A67147FFDB59",1)</v>
      </c>
      <c r="G618" s="17" t="s">
        <v>14</v>
      </c>
      <c r="H618" s="17">
        <v>1</v>
      </c>
    </row>
    <row r="619" ht="57" customHeight="1" spans="1:8">
      <c r="A619" s="29" t="s">
        <v>2136</v>
      </c>
      <c r="B619" s="6" t="s">
        <v>19</v>
      </c>
      <c r="C619" s="29" t="s">
        <v>2137</v>
      </c>
      <c r="D619" s="6" t="s">
        <v>2138</v>
      </c>
      <c r="E619" s="6" t="s">
        <v>2139</v>
      </c>
      <c r="F619" s="6" t="str">
        <f>_xlfn.DISPIMG("ID_511F76534075484AB732909A7C5E9C69",1)</f>
        <v>=DISPIMG("ID_511F76534075484AB732909A7C5E9C69",1)</v>
      </c>
      <c r="G619" s="6" t="s">
        <v>14</v>
      </c>
      <c r="H619" s="17">
        <v>2</v>
      </c>
    </row>
    <row r="620" ht="57" customHeight="1" spans="1:8">
      <c r="A620" s="29" t="s">
        <v>2140</v>
      </c>
      <c r="B620" s="6" t="s">
        <v>19</v>
      </c>
      <c r="C620" s="29" t="s">
        <v>2141</v>
      </c>
      <c r="D620" s="6" t="s">
        <v>2142</v>
      </c>
      <c r="E620" s="6" t="s">
        <v>2143</v>
      </c>
      <c r="F620" s="6" t="str">
        <f>_xlfn.DISPIMG("ID_50895BC473464361978591750EC0EA9F",1)</f>
        <v>=DISPIMG("ID_50895BC473464361978591750EC0EA9F",1)</v>
      </c>
      <c r="G620" s="6" t="s">
        <v>14</v>
      </c>
      <c r="H620" s="17">
        <v>1</v>
      </c>
    </row>
    <row r="621" ht="57" customHeight="1" spans="1:8">
      <c r="A621" s="29" t="s">
        <v>2144</v>
      </c>
      <c r="B621" s="6" t="s">
        <v>19</v>
      </c>
      <c r="C621" s="29" t="s">
        <v>2145</v>
      </c>
      <c r="D621" s="6" t="s">
        <v>2146</v>
      </c>
      <c r="E621" s="6" t="s">
        <v>2147</v>
      </c>
      <c r="F621" s="6" t="str">
        <f>_xlfn.DISPIMG("ID_E46A11254A4C4E5AB4BE0F69B04A531E",1)</f>
        <v>=DISPIMG("ID_E46A11254A4C4E5AB4BE0F69B04A531E",1)</v>
      </c>
      <c r="G621" s="6" t="s">
        <v>14</v>
      </c>
      <c r="H621" s="17">
        <v>1</v>
      </c>
    </row>
    <row r="622" ht="57" customHeight="1" spans="1:8">
      <c r="A622" s="29" t="s">
        <v>2148</v>
      </c>
      <c r="B622" s="6" t="s">
        <v>19</v>
      </c>
      <c r="C622" s="29" t="s">
        <v>2149</v>
      </c>
      <c r="D622" s="6" t="s">
        <v>2150</v>
      </c>
      <c r="E622" s="6" t="s">
        <v>2151</v>
      </c>
      <c r="F622" s="6" t="str">
        <f>_xlfn.DISPIMG("ID_AE858D01D69948E0A5D59C07EDAD6EE8",1)</f>
        <v>=DISPIMG("ID_AE858D01D69948E0A5D59C07EDAD6EE8",1)</v>
      </c>
      <c r="G622" s="6" t="s">
        <v>14</v>
      </c>
      <c r="H622" s="17">
        <v>1</v>
      </c>
    </row>
    <row r="623" ht="57" customHeight="1" spans="1:8">
      <c r="A623" s="29" t="s">
        <v>2152</v>
      </c>
      <c r="B623" s="6" t="s">
        <v>19</v>
      </c>
      <c r="C623" s="29" t="s">
        <v>2153</v>
      </c>
      <c r="D623" s="6" t="s">
        <v>2150</v>
      </c>
      <c r="E623" s="6" t="s">
        <v>2154</v>
      </c>
      <c r="F623" s="6" t="str">
        <f>_xlfn.DISPIMG("ID_8C47DD047F974D7C857FB74BE21396BE",1)</f>
        <v>=DISPIMG("ID_8C47DD047F974D7C857FB74BE21396BE",1)</v>
      </c>
      <c r="G623" s="6" t="s">
        <v>14</v>
      </c>
      <c r="H623" s="17">
        <v>1</v>
      </c>
    </row>
    <row r="624" ht="57" customHeight="1" spans="1:8">
      <c r="A624" s="29" t="s">
        <v>2155</v>
      </c>
      <c r="B624" s="6" t="s">
        <v>19</v>
      </c>
      <c r="C624" s="29" t="s">
        <v>2156</v>
      </c>
      <c r="D624" s="6" t="s">
        <v>2142</v>
      </c>
      <c r="E624" s="6" t="s">
        <v>2157</v>
      </c>
      <c r="F624" s="6" t="str">
        <f>_xlfn.DISPIMG("ID_4580550D896D47D5A9F820CC50222147",1)</f>
        <v>=DISPIMG("ID_4580550D896D47D5A9F820CC50222147",1)</v>
      </c>
      <c r="G624" s="6" t="s">
        <v>14</v>
      </c>
      <c r="H624" s="17">
        <v>1</v>
      </c>
    </row>
    <row r="625" ht="57" customHeight="1" spans="1:8">
      <c r="A625" s="29" t="s">
        <v>2158</v>
      </c>
      <c r="B625" s="6" t="s">
        <v>19</v>
      </c>
      <c r="C625" s="29" t="s">
        <v>2159</v>
      </c>
      <c r="D625" s="6" t="s">
        <v>2150</v>
      </c>
      <c r="E625" s="6" t="s">
        <v>2160</v>
      </c>
      <c r="F625" s="6" t="str">
        <f>_xlfn.DISPIMG("ID_676E3057E56748ABBBF847452ABCF20E",1)</f>
        <v>=DISPIMG("ID_676E3057E56748ABBBF847452ABCF20E",1)</v>
      </c>
      <c r="G625" s="6" t="s">
        <v>14</v>
      </c>
      <c r="H625" s="17">
        <v>1</v>
      </c>
    </row>
  </sheetData>
  <mergeCells count="6">
    <mergeCell ref="A1:H1"/>
    <mergeCell ref="A27:A28"/>
    <mergeCell ref="A152:A155"/>
    <mergeCell ref="A409:A410"/>
    <mergeCell ref="D409:D410"/>
    <mergeCell ref="F409:F410"/>
  </mergeCells>
  <conditionalFormatting sqref="A343">
    <cfRule type="duplicateValues" dxfId="0" priority="3"/>
    <cfRule type="duplicateValues" dxfId="1" priority="4"/>
  </conditionalFormatting>
  <conditionalFormatting sqref="A2:A1048576">
    <cfRule type="duplicateValues" dxfId="2" priority="1"/>
    <cfRule type="duplicateValues" dxfId="2" priority="2"/>
  </conditionalFormatting>
  <hyperlinks>
    <hyperlink ref="C271" r:id="rId2" location="detail" display="通用" tooltip="https://item.taobao.com/item.htm?spm=a21n57.1.0.0.55a1523cZOmCG2&amp;id=693434673518&amp;ns=1&amp;abbucket=0#detail"/>
    <hyperlink ref="C280" r:id="rId3" display="556-72" tooltip="https://detail.tmall.com/item.htm?abbucket=0&amp;id=652183561243&amp;ns=1&amp;skuId=4854165269433&amp;spm=a21n57.1.0.0.55a1523cZOmCG2"/>
    <hyperlink ref="C281" r:id="rId4" display="GDJM-01"/>
    <hyperlink ref="C331" r:id="rId2" location="detail" display="大号放大镜" tooltip="https://item.taobao.com/item.htm?spm=a21n57.1.0.0.55a1523cZOmCG2&amp;id=693434673518&amp;ns=1&amp;abbucket=0#detail"/>
    <hyperlink ref="A505" r:id="rId5" display="睿思重力轨道球"/>
    <hyperlink ref="G601" r:id="rId6" display="套" tooltip="https://detail.tmall.com/item.htm?id=646152173183&amp;price=188-488&amp;sourceType=item,item&amp;suid=34fdeb96-67cc-4b7a-8eb8-dd8a731bd1b1&amp;shareUniqueId=27132719024&amp;ut_sk=1.ZhKoGT/eFK8DAO8bmPy0tZ3O_21646297_1718326297939.DingTalk.1&amp;un=0ca81be31962e5463911dc70f8aca8ac"/>
    <hyperlink ref="G607" r:id="rId7" display="套"/>
  </hyperlinks>
  <pageMargins left="0.75" right="0.75" top="1" bottom="1" header="0.5" footer="0.5"/>
  <pageSetup paperSize="9" orientation="portrait" horizontalDpi="120" verticalDpi="120"/>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1</vt:i4>
      </vt:variant>
    </vt:vector>
  </HeadingPairs>
  <TitlesOfParts>
    <vt:vector size="1" baseType="lpstr">
      <vt:lpstr>采购清单</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dc:creator>
  <cp:lastModifiedBy>天蓝</cp:lastModifiedBy>
  <dcterms:created xsi:type="dcterms:W3CDTF">2025-04-07T05:10:00Z</dcterms:created>
  <dcterms:modified xsi:type="dcterms:W3CDTF">2025-04-23T06:19:06Z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E15854828E694A3381FA23C3E03003BE_13</vt:lpwstr>
  </property>
  <property fmtid="{D5CDD505-2E9C-101B-9397-08002B2CF9AE}" pid="3" name="KSOProductBuildVer">
    <vt:lpwstr>2052-12.1.0.20784</vt:lpwstr>
  </property>
</Properties>
</file>